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tabRatio="673" activeTab="1"/>
  </bookViews>
  <sheets>
    <sheet name="Calculator" sheetId="1" r:id="rId1"/>
    <sheet name="Pass&amp;CardChoice" sheetId="2" r:id="rId2"/>
    <sheet name="Rental type" sheetId="3" r:id="rId3"/>
    <sheet name="QuickCompare" sheetId="4" r:id="rId4"/>
    <sheet name="Free tickets" sheetId="5" r:id="rId5"/>
    <sheet name="To Do List" sheetId="6" r:id="rId6"/>
  </sheets>
  <definedNames/>
  <calcPr fullCalcOnLoad="1"/>
</workbook>
</file>

<file path=xl/comments1.xml><?xml version="1.0" encoding="utf-8"?>
<comments xmlns="http://schemas.openxmlformats.org/spreadsheetml/2006/main">
  <authors>
    <author>russ.carr</author>
  </authors>
  <commentList>
    <comment ref="G12" authorId="0">
      <text>
        <r>
          <rPr>
            <b/>
            <sz val="8"/>
            <rFont val="Tahoma"/>
            <family val="0"/>
          </rPr>
          <t>russ.carr:</t>
        </r>
        <r>
          <rPr>
            <sz val="8"/>
            <rFont val="Tahoma"/>
            <family val="0"/>
          </rPr>
          <t xml:space="preserve">
Advantage card holders earn one free ticket for every 5 paid visits</t>
        </r>
      </text>
    </comment>
  </commentList>
</comments>
</file>

<file path=xl/comments2.xml><?xml version="1.0" encoding="utf-8"?>
<comments xmlns="http://schemas.openxmlformats.org/spreadsheetml/2006/main">
  <authors>
    <author>russ.carr</author>
  </authors>
  <commentList>
    <comment ref="G9" authorId="0">
      <text>
        <r>
          <rPr>
            <b/>
            <sz val="8"/>
            <rFont val="Tahoma"/>
            <family val="0"/>
          </rPr>
          <t>russ.carr:</t>
        </r>
        <r>
          <rPr>
            <sz val="8"/>
            <rFont val="Tahoma"/>
            <family val="0"/>
          </rPr>
          <t xml:space="preserve">
Season Pass protection refunds your money in case of injury or job move</t>
        </r>
      </text>
    </comment>
  </commentList>
</comments>
</file>

<file path=xl/sharedStrings.xml><?xml version="1.0" encoding="utf-8"?>
<sst xmlns="http://schemas.openxmlformats.org/spreadsheetml/2006/main" count="329" uniqueCount="116">
  <si>
    <t>Savings</t>
  </si>
  <si>
    <t>Adult</t>
  </si>
  <si>
    <t># of visits</t>
  </si>
  <si>
    <t>8 Hour Flex - Weekend</t>
  </si>
  <si>
    <t>4 hour flex - Weekend</t>
  </si>
  <si>
    <t>8 hour flex - weekday</t>
  </si>
  <si>
    <t>Advantage Card Price</t>
  </si>
  <si>
    <t xml:space="preserve">night </t>
  </si>
  <si>
    <t>4 hour flex - weekday</t>
  </si>
  <si>
    <t># of Free Tickets*</t>
  </si>
  <si>
    <t>Whitetail</t>
  </si>
  <si>
    <t>Liberty Mountain Resort</t>
  </si>
  <si>
    <t>Extended Weekend Day</t>
  </si>
  <si>
    <t>Extended WeekDay</t>
  </si>
  <si>
    <t>Roundtop</t>
  </si>
  <si>
    <t># of lessons</t>
  </si>
  <si>
    <t>Your up front cost is</t>
  </si>
  <si>
    <t>lessons</t>
  </si>
  <si>
    <t>Age 4-7 Weekend</t>
  </si>
  <si>
    <t>Age 4-7 Weekday</t>
  </si>
  <si>
    <t>Your net savings are</t>
  </si>
  <si>
    <t>You save</t>
  </si>
  <si>
    <t>Step 1: Choose your Deal</t>
  </si>
  <si>
    <t>Step 4: Buy your Advantage Card or Season Pass today!</t>
  </si>
  <si>
    <t>Whitetail Savings</t>
  </si>
  <si>
    <t>Liberty Savings</t>
  </si>
  <si>
    <t>Round Top Savings</t>
  </si>
  <si>
    <t>Advantage card rental price</t>
  </si>
  <si>
    <t>Lift Ticket Price</t>
  </si>
  <si>
    <t>Adult#1</t>
  </si>
  <si>
    <t>Adult#2</t>
  </si>
  <si>
    <t>Junior#1</t>
  </si>
  <si>
    <t>Junior#2</t>
  </si>
  <si>
    <t>Junior#3</t>
  </si>
  <si>
    <t>Lift and Rental Savings</t>
  </si>
  <si>
    <t>add hotel discounts?</t>
  </si>
  <si>
    <t>Beef up the instructions</t>
  </si>
  <si>
    <t>Ask for how many in the family and generate the right number of rows</t>
  </si>
  <si>
    <t>Ask for what types of tickets and generate the right number of rows</t>
  </si>
  <si>
    <t>pretty it up with graphics and colors; check print out</t>
  </si>
  <si>
    <t>add total costs comparison.(use sumproducts function- convert advantage price to "card" price with if logic to show price =0 for seasons pass)</t>
  </si>
  <si>
    <t>add a list of things not covered - seasons pass discounts on rentals, rec racing (Nastar?)</t>
  </si>
  <si>
    <t>Earned</t>
  </si>
  <si>
    <t>Used</t>
  </si>
  <si>
    <t>Remaining</t>
  </si>
  <si>
    <t>Adult#3</t>
  </si>
  <si>
    <t>Adult#4</t>
  </si>
  <si>
    <t>convert to web page format? (easier said then done - need a control add in?); plain excel save as web page needs different look ups and everything all on one sheet</t>
  </si>
  <si>
    <t>add a text page for help on what the spreadsheet is all about - comparing how much money can be saved by using advantage or seasons pass - determining how many times you need to go to break even</t>
  </si>
  <si>
    <t>make it easier to compare season pass versus vs  advantage card - just enter number of trips and type?</t>
  </si>
  <si>
    <t>Rental Price</t>
  </si>
  <si>
    <t>Rental Savings</t>
  </si>
  <si>
    <t>Add in night club card calculation??</t>
  </si>
  <si>
    <t># of paid visits</t>
  </si>
  <si>
    <t>move lift prices and rental prices to a separate sheet that matches the brochure price list</t>
  </si>
  <si>
    <t>Senior</t>
  </si>
  <si>
    <t>Extended Day-Weekend</t>
  </si>
  <si>
    <t>Your Price</t>
  </si>
  <si>
    <t>Regular Price</t>
  </si>
  <si>
    <t>Total</t>
  </si>
  <si>
    <t>Recommendation</t>
  </si>
  <si>
    <t>0-4</t>
  </si>
  <si>
    <t>Buy Regular price tickets</t>
  </si>
  <si>
    <t>Buy an Advantage Card</t>
  </si>
  <si>
    <t>Buy an Advantage Card to save money or a Season Pass to not have to buy tickets</t>
  </si>
  <si>
    <t>Buy a Season Pass</t>
  </si>
  <si>
    <t>Family of 3</t>
  </si>
  <si>
    <t>0-3</t>
  </si>
  <si>
    <t>Advantage Card Selected</t>
  </si>
  <si>
    <t>Single Person or Couple</t>
  </si>
  <si>
    <t>Number of days on snow</t>
  </si>
  <si>
    <t>Buy Season Passes for the family</t>
  </si>
  <si>
    <t>Total free tickets</t>
  </si>
  <si>
    <t>Error Check</t>
  </si>
  <si>
    <t>Choose no rental unless you are getting an Advantage card</t>
  </si>
  <si>
    <t>Seniors</t>
  </si>
  <si>
    <t>When to choose the rental option</t>
  </si>
  <si>
    <t>Season Pass Selected</t>
  </si>
  <si>
    <t>Savings per Ticket</t>
  </si>
  <si>
    <t>12+</t>
  </si>
  <si>
    <t>19+</t>
  </si>
  <si>
    <t>5-10</t>
  </si>
  <si>
    <t>11-18</t>
  </si>
  <si>
    <t>4-7</t>
  </si>
  <si>
    <t>8-11</t>
  </si>
  <si>
    <t>Total # of rentals</t>
  </si>
  <si>
    <t>upgrade forms buttons to activex buttons</t>
  </si>
  <si>
    <t>make discount default preseason based on calendar date</t>
  </si>
  <si>
    <t>convert errors to message boxes</t>
  </si>
  <si>
    <t>Total number of people renting</t>
  </si>
  <si>
    <t>Step 2: Enter your number in visits in the first shaded column below</t>
  </si>
  <si>
    <t>Step 3: Choose when and where you will use your free tickets</t>
  </si>
  <si>
    <t>Advantage Card Savings Calculator - This spreadsheet calculates possible savings using an Advantage Card or Season Pass</t>
  </si>
  <si>
    <t>Note: this spreadsheet has macros that are used to make the buttons work. If you disable macros, the buttons will not work</t>
  </si>
  <si>
    <t>(page down)</t>
  </si>
  <si>
    <t>Calculator enhancement wish list - This worksheet is just for Rusty</t>
  </si>
  <si>
    <t>total</t>
  </si>
  <si>
    <t>This worksheet is used by the calculator. Please don't change anything on here!</t>
  </si>
  <si>
    <t>put comments in macros; use consistent naming structure; combine modules</t>
  </si>
  <si>
    <t>auto compare button enhance - for season pass to advantage card - single; message box for type of pass; family compare</t>
  </si>
  <si>
    <t>add companion card logic/instructions</t>
  </si>
  <si>
    <t>Deanna - this sheet needs to be verified and expanded</t>
  </si>
  <si>
    <t>sanity checks - ; more people than cards ; both advantage and pass selected - limit to one deal at atime</t>
  </si>
  <si>
    <t>Quick compare worksheet reverify numbers-add stuff for rental and seniors</t>
  </si>
  <si>
    <t>really esoteric stuff below here</t>
  </si>
  <si>
    <t>Add buttons and current values for each step in step 1-4; step4 button goes to online purchase???</t>
  </si>
  <si>
    <t>add season pass other discounts to the sheet( trips to windham for season pass holders, hotel discounts, locker discounts)</t>
  </si>
  <si>
    <t>fix family pass pricing - second pass is $380 whether adult or child - only way to do this right now is 2nd adult); add fourth adult line?</t>
  </si>
  <si>
    <t>Total Paid Visits</t>
  </si>
  <si>
    <t>show actual prices after discounts on pass&amp;card sheet</t>
  </si>
  <si>
    <t>add disclaimer page</t>
  </si>
  <si>
    <t>*Night passes are only good at Whitetail OR Roundtop</t>
  </si>
  <si>
    <t xml:space="preserve">*Season and Family passes are good at all 3 resorts. Midweek passes are only good at Whitetail. </t>
  </si>
  <si>
    <t>*Companion cards do not earn free visits</t>
  </si>
  <si>
    <t>enforce companion card no free visits</t>
  </si>
  <si>
    <t>enfoce night and mid week limitations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</si>
</sst>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1">
    <font>
      <sz val="10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8"/>
      <name val="Tahoma"/>
      <family val="0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wrapText="1"/>
    </xf>
    <xf numFmtId="0" fontId="2" fillId="4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2" borderId="0" xfId="0" applyFont="1" applyFill="1" applyAlignment="1">
      <alignment/>
    </xf>
    <xf numFmtId="164" fontId="0" fillId="0" borderId="0" xfId="0" applyNumberFormat="1" applyAlignment="1">
      <alignment/>
    </xf>
    <xf numFmtId="164" fontId="0" fillId="3" borderId="0" xfId="0" applyNumberFormat="1" applyFill="1" applyAlignment="1">
      <alignment/>
    </xf>
    <xf numFmtId="164" fontId="0" fillId="0" borderId="0" xfId="0" applyNumberFormat="1" applyAlignment="1">
      <alignment wrapText="1"/>
    </xf>
    <xf numFmtId="164" fontId="1" fillId="4" borderId="0" xfId="0" applyNumberFormat="1" applyFont="1" applyFill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0" fontId="5" fillId="0" borderId="0" xfId="0" applyFont="1" applyAlignment="1">
      <alignment wrapText="1"/>
    </xf>
    <xf numFmtId="0" fontId="0" fillId="5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165" fontId="0" fillId="0" borderId="0" xfId="0" applyNumberFormat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wrapText="1"/>
    </xf>
    <xf numFmtId="0" fontId="8" fillId="8" borderId="2" xfId="0" applyFont="1" applyFill="1" applyBorder="1" applyAlignment="1">
      <alignment wrapText="1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9" borderId="0" xfId="0" applyFont="1" applyFill="1" applyAlignment="1">
      <alignment/>
    </xf>
    <xf numFmtId="0" fontId="0" fillId="9" borderId="0" xfId="0" applyFill="1" applyAlignment="1">
      <alignment/>
    </xf>
    <xf numFmtId="1" fontId="0" fillId="9" borderId="0" xfId="0" applyNumberFormat="1" applyFill="1" applyAlignment="1">
      <alignment/>
    </xf>
    <xf numFmtId="7" fontId="0" fillId="0" borderId="0" xfId="0" applyNumberFormat="1" applyAlignment="1">
      <alignment wrapText="1"/>
    </xf>
    <xf numFmtId="0" fontId="0" fillId="9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19"/>
  <sheetViews>
    <sheetView workbookViewId="0" topLeftCell="A1">
      <selection activeCell="E4" sqref="E4"/>
    </sheetView>
  </sheetViews>
  <sheetFormatPr defaultColWidth="9.140625" defaultRowHeight="12.75"/>
  <cols>
    <col min="1" max="1" width="20.57421875" style="0" customWidth="1"/>
    <col min="2" max="2" width="15.8515625" style="0" customWidth="1"/>
    <col min="3" max="3" width="5.421875" style="0" customWidth="1"/>
    <col min="5" max="5" width="10.140625" style="0" customWidth="1"/>
    <col min="7" max="8" width="9.140625" style="1" customWidth="1"/>
    <col min="9" max="9" width="10.28125" style="1" customWidth="1"/>
    <col min="10" max="10" width="14.28125" style="1" customWidth="1"/>
    <col min="11" max="11" width="12.7109375" style="0" customWidth="1"/>
  </cols>
  <sheetData>
    <row r="1" spans="1:10" s="33" customFormat="1" ht="15.75">
      <c r="A1" s="32" t="s">
        <v>92</v>
      </c>
      <c r="G1" s="34"/>
      <c r="H1" s="34"/>
      <c r="I1" s="34"/>
      <c r="J1" s="34"/>
    </row>
    <row r="2" ht="20.25" customHeight="1" thickBot="1">
      <c r="A2" t="s">
        <v>93</v>
      </c>
    </row>
    <row r="3" spans="1:11" ht="62.25" customHeight="1" thickBot="1" thickTop="1">
      <c r="A3" s="35" t="s">
        <v>22</v>
      </c>
      <c r="K3" s="1"/>
    </row>
    <row r="4" spans="1:7" ht="97.5" customHeight="1" thickBot="1" thickTop="1">
      <c r="A4" s="35" t="s">
        <v>90</v>
      </c>
      <c r="B4" t="s">
        <v>94</v>
      </c>
      <c r="C4" s="12"/>
      <c r="G4" s="21"/>
    </row>
    <row r="5" spans="1:6" ht="72" customHeight="1" thickBot="1" thickTop="1">
      <c r="A5" s="35" t="s">
        <v>91</v>
      </c>
      <c r="B5" s="20" t="str">
        <f>IF(AND('Pass&amp;CardChoice'!B33,'Free tickets'!E11&gt;0),"Enter free visits in column G","Skip this step")</f>
        <v>Skip this step</v>
      </c>
      <c r="C5" s="36">
        <f>IF(AND(B33,(OR('Free tickets'!E3&lt;0,'Free tickets'!E4&lt;0,'Free tickets'!E5&lt;0,'Free tickets'!E6&lt;0,'Free tickets'!E7&lt;0,'Free tickets'!E8&lt;0,'Free tickets'!E9&lt;0,'Free tickets'!E10&lt;0))),"Error - Too many free tickets used","")</f>
      </c>
      <c r="F5" s="29" t="b">
        <v>0</v>
      </c>
    </row>
    <row r="6" spans="1:3" ht="66.75" customHeight="1" thickBot="1" thickTop="1">
      <c r="A6" s="35" t="s">
        <v>23</v>
      </c>
      <c r="C6" s="12"/>
    </row>
    <row r="7" spans="1:2" ht="13.5" thickTop="1">
      <c r="A7" t="s">
        <v>16</v>
      </c>
      <c r="B7" s="12">
        <f>'Pass&amp;CardChoice'!A22</f>
        <v>0</v>
      </c>
    </row>
    <row r="8" spans="1:8" ht="12.75">
      <c r="A8" t="s">
        <v>21</v>
      </c>
      <c r="B8" s="12">
        <f>(K77+K146+K217)</f>
        <v>0</v>
      </c>
      <c r="H8" s="41"/>
    </row>
    <row r="9" spans="1:8" ht="12.75">
      <c r="A9" t="s">
        <v>20</v>
      </c>
      <c r="B9" s="12">
        <f>(K77+K146+K217)-B7</f>
        <v>0</v>
      </c>
      <c r="C9" s="12">
        <f>IF(AND(B9&gt;0,OR('Pass&amp;CardChoice'!B33,'Pass&amp;CardChoice'!B34)),"Now you're saving money","")</f>
      </c>
      <c r="H9" s="41"/>
    </row>
    <row r="10" ht="12.75">
      <c r="C10" s="37">
        <f>IF(AND(B9&gt;0,NOT('Pass&amp;CardChoice'!B33),NOT('Pass&amp;CardChoice'!B34)),"Whoa - you need to choose a card or pass before you can save money","")</f>
      </c>
    </row>
    <row r="11" spans="1:10" s="3" customFormat="1" ht="12.75">
      <c r="A11" s="11" t="s">
        <v>10</v>
      </c>
      <c r="G11" s="4"/>
      <c r="H11" s="4"/>
      <c r="I11" s="4"/>
      <c r="J11" s="4"/>
    </row>
    <row r="12" spans="3:11" ht="37.5" customHeight="1">
      <c r="C12" s="1" t="s">
        <v>53</v>
      </c>
      <c r="D12" s="1" t="s">
        <v>28</v>
      </c>
      <c r="E12" s="1" t="s">
        <v>6</v>
      </c>
      <c r="F12" s="1" t="s">
        <v>78</v>
      </c>
      <c r="G12" s="1" t="s">
        <v>9</v>
      </c>
      <c r="H12" s="1" t="s">
        <v>50</v>
      </c>
      <c r="I12" s="1" t="s">
        <v>27</v>
      </c>
      <c r="J12" s="1" t="s">
        <v>51</v>
      </c>
      <c r="K12" s="1" t="s">
        <v>34</v>
      </c>
    </row>
    <row r="13" ht="12.75">
      <c r="A13" t="s">
        <v>56</v>
      </c>
    </row>
    <row r="14" spans="2:11" ht="12.75">
      <c r="B14" t="s">
        <v>29</v>
      </c>
      <c r="C14" s="2"/>
      <c r="D14" s="12">
        <v>55</v>
      </c>
      <c r="E14" s="12">
        <f>0.6*D14</f>
        <v>33</v>
      </c>
      <c r="F14" s="12">
        <f>IF('Pass&amp;CardChoice'!$B$33,D14-E14,IF('Pass&amp;CardChoice'!$B$34,D14,0))</f>
        <v>0</v>
      </c>
      <c r="G14" s="19"/>
      <c r="H14" s="1">
        <f>CHOOSE('Rental type'!A5,45,49,0)</f>
        <v>0</v>
      </c>
      <c r="I14" s="1">
        <f aca="true" t="shared" si="0" ref="I14:I19">0.6*H14</f>
        <v>0</v>
      </c>
      <c r="J14" s="1">
        <f>(H14-I14)</f>
        <v>0</v>
      </c>
      <c r="K14" s="12">
        <f>(C14*F14)+(G14*D14)+(C14*J14)+(G14*H14)</f>
        <v>0</v>
      </c>
    </row>
    <row r="15" spans="2:11" ht="12.75">
      <c r="B15" t="s">
        <v>30</v>
      </c>
      <c r="C15" s="2"/>
      <c r="D15" s="12">
        <f>D14</f>
        <v>55</v>
      </c>
      <c r="E15" s="12">
        <f>0.6*D15</f>
        <v>33</v>
      </c>
      <c r="F15" s="12">
        <f>IF('Pass&amp;CardChoice'!$B$33,D15-E15,IF('Pass&amp;CardChoice'!$B$34,D15,0))</f>
        <v>0</v>
      </c>
      <c r="G15" s="19"/>
      <c r="H15" s="1">
        <f>CHOOSE('Rental type'!A6,45,49,0)</f>
        <v>0</v>
      </c>
      <c r="I15" s="1">
        <f t="shared" si="0"/>
        <v>0</v>
      </c>
      <c r="J15" s="1">
        <f aca="true" t="shared" si="1" ref="J15:J20">H15-I15</f>
        <v>0</v>
      </c>
      <c r="K15" s="12">
        <f aca="true" t="shared" si="2" ref="K15:K21">(C15*F15)+(G15*D15)+(C15*J15)+(G15*H15)</f>
        <v>0</v>
      </c>
    </row>
    <row r="16" spans="2:11" ht="12.75">
      <c r="B16" t="s">
        <v>45</v>
      </c>
      <c r="C16" s="2"/>
      <c r="D16" s="12">
        <f>D15</f>
        <v>55</v>
      </c>
      <c r="E16" s="12">
        <f>0.6*D16</f>
        <v>33</v>
      </c>
      <c r="F16" s="12">
        <f>IF('Pass&amp;CardChoice'!$B$33,D16-E16,IF('Pass&amp;CardChoice'!$B$34,D16,0))</f>
        <v>0</v>
      </c>
      <c r="G16" s="19"/>
      <c r="H16" s="1">
        <f>CHOOSE('Rental type'!A7,45,49,0)</f>
        <v>0</v>
      </c>
      <c r="I16" s="1">
        <f t="shared" si="0"/>
        <v>0</v>
      </c>
      <c r="J16" s="1">
        <f>H16-I16</f>
        <v>0</v>
      </c>
      <c r="K16" s="12">
        <f t="shared" si="2"/>
        <v>0</v>
      </c>
    </row>
    <row r="17" spans="2:11" ht="12.75">
      <c r="B17" t="s">
        <v>46</v>
      </c>
      <c r="C17" s="2"/>
      <c r="D17" s="12">
        <f>D16</f>
        <v>55</v>
      </c>
      <c r="E17" s="12">
        <f>0.6*D17</f>
        <v>33</v>
      </c>
      <c r="F17" s="12">
        <f>IF('Pass&amp;CardChoice'!$B$33,D17-E17,IF('Pass&amp;CardChoice'!$B$34,D17,0))</f>
        <v>0</v>
      </c>
      <c r="G17" s="19"/>
      <c r="H17" s="1">
        <f>CHOOSE('Rental type'!A8,45,49,0)</f>
        <v>0</v>
      </c>
      <c r="I17" s="1">
        <f t="shared" si="0"/>
        <v>0</v>
      </c>
      <c r="J17" s="1">
        <f>H17-I17</f>
        <v>0</v>
      </c>
      <c r="K17" s="12">
        <f t="shared" si="2"/>
        <v>0</v>
      </c>
    </row>
    <row r="18" spans="2:11" ht="12.75">
      <c r="B18" t="s">
        <v>31</v>
      </c>
      <c r="C18" s="2"/>
      <c r="D18" s="12">
        <v>47</v>
      </c>
      <c r="E18" s="12">
        <f aca="true" t="shared" si="3" ref="E18:E74">0.6*D18</f>
        <v>28.2</v>
      </c>
      <c r="F18" s="12">
        <f>IF('Pass&amp;CardChoice'!$B$33,D18-E18,IF('Pass&amp;CardChoice'!$B$34,D18,0))</f>
        <v>0</v>
      </c>
      <c r="G18" s="19"/>
      <c r="H18" s="1">
        <f>CHOOSE('Rental type'!A9,45,49,0)</f>
        <v>0</v>
      </c>
      <c r="I18" s="1">
        <f t="shared" si="0"/>
        <v>0</v>
      </c>
      <c r="J18" s="1">
        <f t="shared" si="1"/>
        <v>0</v>
      </c>
      <c r="K18" s="12">
        <f t="shared" si="2"/>
        <v>0</v>
      </c>
    </row>
    <row r="19" spans="2:11" ht="12.75">
      <c r="B19" t="s">
        <v>32</v>
      </c>
      <c r="C19" s="2"/>
      <c r="D19" s="12">
        <f>D18</f>
        <v>47</v>
      </c>
      <c r="E19" s="12">
        <f t="shared" si="3"/>
        <v>28.2</v>
      </c>
      <c r="F19" s="12">
        <f>IF('Pass&amp;CardChoice'!$B$33,D19-E19,IF('Pass&amp;CardChoice'!$B$34,D19,0))</f>
        <v>0</v>
      </c>
      <c r="G19" s="19"/>
      <c r="H19" s="1">
        <f>CHOOSE('Rental type'!A10,45,49,0)</f>
        <v>0</v>
      </c>
      <c r="I19" s="1">
        <f t="shared" si="0"/>
        <v>0</v>
      </c>
      <c r="J19" s="1">
        <f t="shared" si="1"/>
        <v>0</v>
      </c>
      <c r="K19" s="12">
        <f t="shared" si="2"/>
        <v>0</v>
      </c>
    </row>
    <row r="20" spans="2:11" ht="12.75">
      <c r="B20" t="s">
        <v>33</v>
      </c>
      <c r="C20" s="2"/>
      <c r="D20" s="12">
        <f>D19</f>
        <v>47</v>
      </c>
      <c r="E20" s="12">
        <f t="shared" si="3"/>
        <v>28.2</v>
      </c>
      <c r="F20" s="12">
        <f>IF('Pass&amp;CardChoice'!$B$33,D20-E20,IF('Pass&amp;CardChoice'!$B$34,D20,0))</f>
        <v>0</v>
      </c>
      <c r="G20" s="19"/>
      <c r="H20" s="1">
        <f>CHOOSE('Rental type'!A11,45,49,0)</f>
        <v>0</v>
      </c>
      <c r="I20" s="1">
        <f aca="true" t="shared" si="4" ref="I20:I44">0.6*H20</f>
        <v>0</v>
      </c>
      <c r="J20" s="1">
        <f t="shared" si="1"/>
        <v>0</v>
      </c>
      <c r="K20" s="12">
        <f t="shared" si="2"/>
        <v>0</v>
      </c>
    </row>
    <row r="21" spans="2:11" ht="12.75">
      <c r="B21" t="s">
        <v>55</v>
      </c>
      <c r="C21" s="2"/>
      <c r="D21" s="12">
        <f>D17</f>
        <v>55</v>
      </c>
      <c r="E21" s="12">
        <f t="shared" si="3"/>
        <v>33</v>
      </c>
      <c r="F21" s="12">
        <f>IF('Pass&amp;CardChoice'!$B$33,D21-E21,IF('Pass&amp;CardChoice'!$B$34,D21,0))</f>
        <v>0</v>
      </c>
      <c r="G21" s="19"/>
      <c r="H21" s="1">
        <f>CHOOSE('Rental type'!A12,45,49,0)</f>
        <v>0</v>
      </c>
      <c r="I21" s="1">
        <f t="shared" si="4"/>
        <v>0</v>
      </c>
      <c r="J21" s="1">
        <f>H21-I21</f>
        <v>0</v>
      </c>
      <c r="K21" s="12">
        <f t="shared" si="2"/>
        <v>0</v>
      </c>
    </row>
    <row r="22" spans="1:11" ht="12.75">
      <c r="A22" t="s">
        <v>3</v>
      </c>
      <c r="D22" s="12"/>
      <c r="E22" s="12"/>
      <c r="F22" s="12"/>
      <c r="K22" s="12"/>
    </row>
    <row r="23" spans="2:11" ht="12.75">
      <c r="B23" t="s">
        <v>29</v>
      </c>
      <c r="C23" s="2"/>
      <c r="D23" s="12">
        <v>49</v>
      </c>
      <c r="E23" s="12">
        <f t="shared" si="3"/>
        <v>29.4</v>
      </c>
      <c r="F23" s="12">
        <f>IF('Pass&amp;CardChoice'!$B$33,D23-E23,IF('Pass&amp;CardChoice'!$B$34,D23,0))</f>
        <v>0</v>
      </c>
      <c r="G23" s="19"/>
      <c r="H23" s="1">
        <f>CHOOSE('Rental type'!A5,33,40,0)</f>
        <v>0</v>
      </c>
      <c r="I23" s="1">
        <f t="shared" si="4"/>
        <v>0</v>
      </c>
      <c r="J23" s="1">
        <f>H23-I23</f>
        <v>0</v>
      </c>
      <c r="K23" s="12">
        <f aca="true" t="shared" si="5" ref="K23:K29">(C23*F23)+(G23*D23)+(C23*J23)+(G23*H23)</f>
        <v>0</v>
      </c>
    </row>
    <row r="24" spans="2:11" ht="12.75">
      <c r="B24" t="s">
        <v>30</v>
      </c>
      <c r="C24" s="2"/>
      <c r="D24" s="12">
        <f>D23</f>
        <v>49</v>
      </c>
      <c r="E24" s="12">
        <f t="shared" si="3"/>
        <v>29.4</v>
      </c>
      <c r="F24" s="12">
        <f>IF('Pass&amp;CardChoice'!$B$33,D24-E24,IF('Pass&amp;CardChoice'!$B$34,D24,0))</f>
        <v>0</v>
      </c>
      <c r="G24" s="19"/>
      <c r="H24" s="1">
        <f>CHOOSE('Rental type'!A6,33,40,0)</f>
        <v>0</v>
      </c>
      <c r="I24" s="1">
        <f t="shared" si="4"/>
        <v>0</v>
      </c>
      <c r="J24" s="1">
        <f aca="true" t="shared" si="6" ref="J24:J29">H24-I24</f>
        <v>0</v>
      </c>
      <c r="K24" s="12">
        <f t="shared" si="5"/>
        <v>0</v>
      </c>
    </row>
    <row r="25" spans="2:11" ht="12.75">
      <c r="B25" t="s">
        <v>45</v>
      </c>
      <c r="C25" s="2"/>
      <c r="D25" s="12">
        <f>D24</f>
        <v>49</v>
      </c>
      <c r="E25" s="12">
        <f t="shared" si="3"/>
        <v>29.4</v>
      </c>
      <c r="F25" s="12">
        <f>IF('Pass&amp;CardChoice'!$B$33,D25-E25,IF('Pass&amp;CardChoice'!$B$34,D25,0))</f>
        <v>0</v>
      </c>
      <c r="G25" s="19"/>
      <c r="H25" s="1">
        <f>CHOOSE('Rental type'!A7,33,40,0)</f>
        <v>0</v>
      </c>
      <c r="I25" s="1">
        <f t="shared" si="4"/>
        <v>0</v>
      </c>
      <c r="J25" s="1">
        <f>H25-I25</f>
        <v>0</v>
      </c>
      <c r="K25" s="12">
        <f t="shared" si="5"/>
        <v>0</v>
      </c>
    </row>
    <row r="26" spans="2:11" ht="12.75">
      <c r="B26" t="s">
        <v>46</v>
      </c>
      <c r="C26" s="2"/>
      <c r="D26" s="12">
        <f>D25</f>
        <v>49</v>
      </c>
      <c r="E26" s="12">
        <f t="shared" si="3"/>
        <v>29.4</v>
      </c>
      <c r="F26" s="12">
        <f>IF('Pass&amp;CardChoice'!$B$33,D26-E26,IF('Pass&amp;CardChoice'!$B$34,D26,0))</f>
        <v>0</v>
      </c>
      <c r="G26" s="19"/>
      <c r="H26" s="1">
        <f>CHOOSE('Rental type'!A8,33,40,0)</f>
        <v>0</v>
      </c>
      <c r="I26" s="1">
        <f t="shared" si="4"/>
        <v>0</v>
      </c>
      <c r="J26" s="1">
        <f>H26-I26</f>
        <v>0</v>
      </c>
      <c r="K26" s="12">
        <f t="shared" si="5"/>
        <v>0</v>
      </c>
    </row>
    <row r="27" spans="2:11" ht="12.75">
      <c r="B27" t="s">
        <v>31</v>
      </c>
      <c r="C27" s="2"/>
      <c r="D27" s="12">
        <v>43</v>
      </c>
      <c r="E27" s="12">
        <f t="shared" si="3"/>
        <v>25.8</v>
      </c>
      <c r="F27" s="12">
        <f>IF('Pass&amp;CardChoice'!$B$33,D27-E27,IF('Pass&amp;CardChoice'!$B$34,D27,0))</f>
        <v>0</v>
      </c>
      <c r="G27" s="19"/>
      <c r="H27" s="1">
        <f>CHOOSE('Rental type'!A9,33,40,0)</f>
        <v>0</v>
      </c>
      <c r="I27" s="1">
        <f t="shared" si="4"/>
        <v>0</v>
      </c>
      <c r="J27" s="1">
        <f t="shared" si="6"/>
        <v>0</v>
      </c>
      <c r="K27" s="12">
        <f t="shared" si="5"/>
        <v>0</v>
      </c>
    </row>
    <row r="28" spans="2:11" ht="12.75">
      <c r="B28" t="s">
        <v>32</v>
      </c>
      <c r="C28" s="2"/>
      <c r="D28" s="12">
        <f>D27</f>
        <v>43</v>
      </c>
      <c r="E28" s="12">
        <f t="shared" si="3"/>
        <v>25.8</v>
      </c>
      <c r="F28" s="12">
        <f>IF('Pass&amp;CardChoice'!$B$33,D28-E28,IF('Pass&amp;CardChoice'!$B$34,D28,0))</f>
        <v>0</v>
      </c>
      <c r="G28" s="19"/>
      <c r="H28" s="1">
        <f>CHOOSE('Rental type'!A10,33,40,0)</f>
        <v>0</v>
      </c>
      <c r="I28" s="1">
        <f t="shared" si="4"/>
        <v>0</v>
      </c>
      <c r="J28" s="1">
        <f t="shared" si="6"/>
        <v>0</v>
      </c>
      <c r="K28" s="12">
        <f t="shared" si="5"/>
        <v>0</v>
      </c>
    </row>
    <row r="29" spans="2:11" ht="12.75">
      <c r="B29" t="s">
        <v>33</v>
      </c>
      <c r="C29" s="2"/>
      <c r="D29" s="12">
        <f>D28</f>
        <v>43</v>
      </c>
      <c r="E29" s="12">
        <f t="shared" si="3"/>
        <v>25.8</v>
      </c>
      <c r="F29" s="12">
        <f>IF('Pass&amp;CardChoice'!$B$33,D29-E29,IF('Pass&amp;CardChoice'!$B$34,D29,0))</f>
        <v>0</v>
      </c>
      <c r="G29" s="19"/>
      <c r="H29" s="1">
        <f>CHOOSE('Rental type'!A11,33,40,0)</f>
        <v>0</v>
      </c>
      <c r="I29" s="1">
        <f t="shared" si="4"/>
        <v>0</v>
      </c>
      <c r="J29" s="1">
        <f t="shared" si="6"/>
        <v>0</v>
      </c>
      <c r="K29" s="12">
        <f t="shared" si="5"/>
        <v>0</v>
      </c>
    </row>
    <row r="30" spans="2:11" ht="12.75">
      <c r="B30" t="s">
        <v>55</v>
      </c>
      <c r="C30" s="2"/>
      <c r="D30" s="12">
        <f>D26</f>
        <v>49</v>
      </c>
      <c r="E30" s="12">
        <f t="shared" si="3"/>
        <v>29.4</v>
      </c>
      <c r="F30" s="12">
        <f>IF('Pass&amp;CardChoice'!$B$33,D30-E30,IF('Pass&amp;CardChoice'!$B$34,D30,0))</f>
        <v>0</v>
      </c>
      <c r="G30" s="19"/>
      <c r="H30" s="1">
        <f>CHOOSE('Rental type'!A12,33,40,0)</f>
        <v>0</v>
      </c>
      <c r="I30" s="1">
        <f t="shared" si="4"/>
        <v>0</v>
      </c>
      <c r="J30" s="1">
        <f>H30-I30</f>
        <v>0</v>
      </c>
      <c r="K30" s="12">
        <f>(C30*F30)+(G30*D30)+(C30*J30)+(G30*H30)</f>
        <v>0</v>
      </c>
    </row>
    <row r="31" spans="1:11" ht="12.75">
      <c r="A31" t="s">
        <v>4</v>
      </c>
      <c r="D31" s="12"/>
      <c r="E31" s="12"/>
      <c r="F31" s="12"/>
      <c r="K31" s="12"/>
    </row>
    <row r="32" spans="2:11" ht="12.75">
      <c r="B32" t="s">
        <v>29</v>
      </c>
      <c r="C32" s="2"/>
      <c r="D32" s="12">
        <v>45</v>
      </c>
      <c r="E32" s="12">
        <f t="shared" si="3"/>
        <v>27</v>
      </c>
      <c r="F32" s="12">
        <f>IF('Pass&amp;CardChoice'!$B$33,D32-E32,IF('Pass&amp;CardChoice'!$B$34,D32,0))</f>
        <v>0</v>
      </c>
      <c r="G32" s="19"/>
      <c r="H32" s="1">
        <f>CHOOSE('Rental type'!A5,30,37,0)</f>
        <v>0</v>
      </c>
      <c r="I32" s="1">
        <f t="shared" si="4"/>
        <v>0</v>
      </c>
      <c r="J32" s="1">
        <f aca="true" t="shared" si="7" ref="J32:J38">H32-I32</f>
        <v>0</v>
      </c>
      <c r="K32" s="12">
        <f aca="true" t="shared" si="8" ref="K32:K38">(C32*F32)+(G32*D32)+(C32*J32)+(G32*H32)</f>
        <v>0</v>
      </c>
    </row>
    <row r="33" spans="2:11" ht="12.75">
      <c r="B33" t="s">
        <v>30</v>
      </c>
      <c r="C33" s="2"/>
      <c r="D33" s="12">
        <f>D32</f>
        <v>45</v>
      </c>
      <c r="E33" s="12">
        <f t="shared" si="3"/>
        <v>27</v>
      </c>
      <c r="F33" s="12">
        <f>IF('Pass&amp;CardChoice'!$B$33,D33-E33,IF('Pass&amp;CardChoice'!$B$34,D33,0))</f>
        <v>0</v>
      </c>
      <c r="G33" s="19"/>
      <c r="H33" s="1">
        <f>CHOOSE('Rental type'!A6,30,37,0)</f>
        <v>0</v>
      </c>
      <c r="I33" s="1">
        <f t="shared" si="4"/>
        <v>0</v>
      </c>
      <c r="J33" s="1">
        <f t="shared" si="7"/>
        <v>0</v>
      </c>
      <c r="K33" s="12">
        <f t="shared" si="8"/>
        <v>0</v>
      </c>
    </row>
    <row r="34" spans="2:11" ht="12.75">
      <c r="B34" t="s">
        <v>45</v>
      </c>
      <c r="C34" s="2"/>
      <c r="D34" s="12">
        <f>D33</f>
        <v>45</v>
      </c>
      <c r="E34" s="12">
        <f t="shared" si="3"/>
        <v>27</v>
      </c>
      <c r="F34" s="12">
        <f>IF('Pass&amp;CardChoice'!$B$33,D34-E34,IF('Pass&amp;CardChoice'!$B$34,D34,0))</f>
        <v>0</v>
      </c>
      <c r="G34" s="19"/>
      <c r="H34" s="1">
        <f>CHOOSE('Rental type'!A7,30,37,0)</f>
        <v>0</v>
      </c>
      <c r="I34" s="1">
        <f t="shared" si="4"/>
        <v>0</v>
      </c>
      <c r="J34" s="1">
        <f>H34-I34</f>
        <v>0</v>
      </c>
      <c r="K34" s="12">
        <f t="shared" si="8"/>
        <v>0</v>
      </c>
    </row>
    <row r="35" spans="2:11" ht="12.75">
      <c r="B35" t="s">
        <v>46</v>
      </c>
      <c r="C35" s="2"/>
      <c r="D35" s="12">
        <f>D34</f>
        <v>45</v>
      </c>
      <c r="E35" s="12">
        <f t="shared" si="3"/>
        <v>27</v>
      </c>
      <c r="F35" s="12">
        <f>IF('Pass&amp;CardChoice'!$B$33,D35-E35,IF('Pass&amp;CardChoice'!$B$34,D35,0))</f>
        <v>0</v>
      </c>
      <c r="G35" s="19"/>
      <c r="H35" s="1">
        <f>CHOOSE('Rental type'!A8,30,37,0)</f>
        <v>0</v>
      </c>
      <c r="I35" s="1">
        <f t="shared" si="4"/>
        <v>0</v>
      </c>
      <c r="J35" s="1">
        <f>H35-I35</f>
        <v>0</v>
      </c>
      <c r="K35" s="12">
        <f t="shared" si="8"/>
        <v>0</v>
      </c>
    </row>
    <row r="36" spans="2:11" ht="12.75">
      <c r="B36" t="s">
        <v>31</v>
      </c>
      <c r="C36" s="2"/>
      <c r="D36" s="12">
        <v>39</v>
      </c>
      <c r="E36" s="12">
        <f t="shared" si="3"/>
        <v>23.4</v>
      </c>
      <c r="F36" s="12">
        <f>IF('Pass&amp;CardChoice'!$B$33,D36-E36,IF('Pass&amp;CardChoice'!$B$34,D36,0))</f>
        <v>0</v>
      </c>
      <c r="G36" s="19"/>
      <c r="H36" s="1">
        <f>CHOOSE('Rental type'!A9,30,37,0)</f>
        <v>0</v>
      </c>
      <c r="I36" s="1">
        <f t="shared" si="4"/>
        <v>0</v>
      </c>
      <c r="J36" s="1">
        <f t="shared" si="7"/>
        <v>0</v>
      </c>
      <c r="K36" s="12">
        <f t="shared" si="8"/>
        <v>0</v>
      </c>
    </row>
    <row r="37" spans="2:11" ht="12.75">
      <c r="B37" t="s">
        <v>32</v>
      </c>
      <c r="C37" s="2"/>
      <c r="D37" s="12">
        <f>D36</f>
        <v>39</v>
      </c>
      <c r="E37" s="12">
        <f t="shared" si="3"/>
        <v>23.4</v>
      </c>
      <c r="F37" s="12">
        <f>IF('Pass&amp;CardChoice'!$B$33,D37-E37,IF('Pass&amp;CardChoice'!$B$34,D37,0))</f>
        <v>0</v>
      </c>
      <c r="G37" s="19"/>
      <c r="H37" s="1">
        <f>CHOOSE('Rental type'!A10,30,37,0)</f>
        <v>0</v>
      </c>
      <c r="I37" s="1">
        <f t="shared" si="4"/>
        <v>0</v>
      </c>
      <c r="J37" s="1">
        <f t="shared" si="7"/>
        <v>0</v>
      </c>
      <c r="K37" s="12">
        <f t="shared" si="8"/>
        <v>0</v>
      </c>
    </row>
    <row r="38" spans="2:11" ht="12.75">
      <c r="B38" t="s">
        <v>33</v>
      </c>
      <c r="C38" s="2"/>
      <c r="D38" s="12">
        <f>D37</f>
        <v>39</v>
      </c>
      <c r="E38" s="12">
        <f t="shared" si="3"/>
        <v>23.4</v>
      </c>
      <c r="F38" s="12">
        <f>IF('Pass&amp;CardChoice'!$B$33,D38-E38,IF('Pass&amp;CardChoice'!$B$34,D38,0))</f>
        <v>0</v>
      </c>
      <c r="G38" s="19"/>
      <c r="H38" s="1">
        <f>CHOOSE('Rental type'!A11,30,37,0)</f>
        <v>0</v>
      </c>
      <c r="I38" s="1">
        <f t="shared" si="4"/>
        <v>0</v>
      </c>
      <c r="J38" s="1">
        <f t="shared" si="7"/>
        <v>0</v>
      </c>
      <c r="K38" s="12">
        <f t="shared" si="8"/>
        <v>0</v>
      </c>
    </row>
    <row r="39" spans="2:11" ht="12.75">
      <c r="B39" t="s">
        <v>55</v>
      </c>
      <c r="C39" s="2"/>
      <c r="D39" s="12">
        <f>D35</f>
        <v>45</v>
      </c>
      <c r="E39" s="12">
        <f t="shared" si="3"/>
        <v>27</v>
      </c>
      <c r="F39" s="12">
        <f>IF('Pass&amp;CardChoice'!$B$33,D39-E39,IF('Pass&amp;CardChoice'!$B$34,D39,0))</f>
        <v>0</v>
      </c>
      <c r="G39" s="19"/>
      <c r="H39" s="1">
        <f>CHOOSE('Rental type'!A12,30,37,0)</f>
        <v>0</v>
      </c>
      <c r="I39" s="1">
        <f t="shared" si="4"/>
        <v>0</v>
      </c>
      <c r="J39" s="1">
        <f>H39-I39</f>
        <v>0</v>
      </c>
      <c r="K39" s="12">
        <f>(C39*F39)+(G39*D39)+(C39*J39)+(G39*H39)</f>
        <v>0</v>
      </c>
    </row>
    <row r="40" spans="1:11" ht="12.75">
      <c r="A40" t="s">
        <v>7</v>
      </c>
      <c r="D40" s="12"/>
      <c r="E40" s="12"/>
      <c r="F40" s="12"/>
      <c r="K40" s="12"/>
    </row>
    <row r="41" spans="2:11" ht="12.75">
      <c r="B41" t="s">
        <v>29</v>
      </c>
      <c r="C41" s="2"/>
      <c r="D41" s="12">
        <v>31</v>
      </c>
      <c r="E41" s="12">
        <f t="shared" si="3"/>
        <v>18.599999999999998</v>
      </c>
      <c r="F41" s="12">
        <f>IF('Pass&amp;CardChoice'!$B$33,D41-E41,IF('Pass&amp;CardChoice'!$B$34,D41,0))</f>
        <v>0</v>
      </c>
      <c r="G41" s="19"/>
      <c r="H41" s="1">
        <f>CHOOSE('Rental type'!A5,29,33,0)</f>
        <v>0</v>
      </c>
      <c r="I41" s="1">
        <f t="shared" si="4"/>
        <v>0</v>
      </c>
      <c r="J41" s="1">
        <f aca="true" t="shared" si="9" ref="J41:J47">H41-I41</f>
        <v>0</v>
      </c>
      <c r="K41" s="12">
        <f aca="true" t="shared" si="10" ref="K41:K47">(C41*F41)+(G41*D41)+(C41*J41)+(G41*H41)</f>
        <v>0</v>
      </c>
    </row>
    <row r="42" spans="2:11" ht="12.75">
      <c r="B42" t="s">
        <v>30</v>
      </c>
      <c r="C42" s="2"/>
      <c r="D42" s="12">
        <f>D41</f>
        <v>31</v>
      </c>
      <c r="E42" s="12">
        <f t="shared" si="3"/>
        <v>18.599999999999998</v>
      </c>
      <c r="F42" s="12">
        <f>IF('Pass&amp;CardChoice'!$B$33,D42-E42,IF('Pass&amp;CardChoice'!$B$34,D42,0))</f>
        <v>0</v>
      </c>
      <c r="G42" s="19"/>
      <c r="H42" s="1">
        <f>CHOOSE('Rental type'!A6,29,33,0)</f>
        <v>0</v>
      </c>
      <c r="I42" s="1">
        <f t="shared" si="4"/>
        <v>0</v>
      </c>
      <c r="J42" s="1">
        <f t="shared" si="9"/>
        <v>0</v>
      </c>
      <c r="K42" s="12">
        <f t="shared" si="10"/>
        <v>0</v>
      </c>
    </row>
    <row r="43" spans="2:11" ht="12.75">
      <c r="B43" t="s">
        <v>45</v>
      </c>
      <c r="C43" s="2"/>
      <c r="D43" s="12">
        <f>D42</f>
        <v>31</v>
      </c>
      <c r="E43" s="12">
        <f t="shared" si="3"/>
        <v>18.599999999999998</v>
      </c>
      <c r="F43" s="12">
        <f>IF('Pass&amp;CardChoice'!$B$33,D43-E43,IF('Pass&amp;CardChoice'!$B$34,D43,0))</f>
        <v>0</v>
      </c>
      <c r="G43" s="19"/>
      <c r="H43" s="1">
        <f>CHOOSE('Rental type'!A7,29,33,0)</f>
        <v>0</v>
      </c>
      <c r="I43" s="1">
        <f t="shared" si="4"/>
        <v>0</v>
      </c>
      <c r="J43" s="1">
        <f>H43-I43</f>
        <v>0</v>
      </c>
      <c r="K43" s="12">
        <f t="shared" si="10"/>
        <v>0</v>
      </c>
    </row>
    <row r="44" spans="2:11" ht="12.75">
      <c r="B44" t="s">
        <v>46</v>
      </c>
      <c r="C44" s="2"/>
      <c r="D44" s="12">
        <f>D43</f>
        <v>31</v>
      </c>
      <c r="E44" s="12">
        <f t="shared" si="3"/>
        <v>18.599999999999998</v>
      </c>
      <c r="F44" s="12">
        <f>IF('Pass&amp;CardChoice'!$B$33,D44-E44,IF('Pass&amp;CardChoice'!$B$34,D44,0))</f>
        <v>0</v>
      </c>
      <c r="G44" s="19"/>
      <c r="H44" s="1">
        <f>CHOOSE('Rental type'!A8,29,33,0)</f>
        <v>0</v>
      </c>
      <c r="I44" s="1">
        <f t="shared" si="4"/>
        <v>0</v>
      </c>
      <c r="J44" s="1">
        <f>H44-I44</f>
        <v>0</v>
      </c>
      <c r="K44" s="12">
        <f t="shared" si="10"/>
        <v>0</v>
      </c>
    </row>
    <row r="45" spans="2:11" ht="12.75">
      <c r="B45" t="s">
        <v>31</v>
      </c>
      <c r="C45" s="2"/>
      <c r="D45" s="12">
        <v>26</v>
      </c>
      <c r="E45" s="12">
        <f>0.6*D45</f>
        <v>15.6</v>
      </c>
      <c r="F45" s="12">
        <f>IF('Pass&amp;CardChoice'!$B$33,D45-E45,IF('Pass&amp;CardChoice'!$B$34,D45,0))</f>
        <v>0</v>
      </c>
      <c r="G45" s="19"/>
      <c r="H45" s="1">
        <f>CHOOSE('Rental type'!A9,29,33,0)</f>
        <v>0</v>
      </c>
      <c r="I45" s="1">
        <f>0.6*H45</f>
        <v>0</v>
      </c>
      <c r="J45" s="1">
        <f t="shared" si="9"/>
        <v>0</v>
      </c>
      <c r="K45" s="12">
        <f t="shared" si="10"/>
        <v>0</v>
      </c>
    </row>
    <row r="46" spans="2:11" ht="12.75">
      <c r="B46" t="s">
        <v>32</v>
      </c>
      <c r="C46" s="2"/>
      <c r="D46" s="12">
        <f>D45</f>
        <v>26</v>
      </c>
      <c r="E46" s="12">
        <f>0.6*D46</f>
        <v>15.6</v>
      </c>
      <c r="F46" s="12">
        <f>IF('Pass&amp;CardChoice'!$B$33,D46-E46,IF('Pass&amp;CardChoice'!$B$34,D46,0))</f>
        <v>0</v>
      </c>
      <c r="G46" s="19"/>
      <c r="H46" s="1">
        <f>CHOOSE('Rental type'!A10,29,33,0)</f>
        <v>0</v>
      </c>
      <c r="I46" s="1">
        <f>0.6*H46</f>
        <v>0</v>
      </c>
      <c r="J46" s="1">
        <f t="shared" si="9"/>
        <v>0</v>
      </c>
      <c r="K46" s="12">
        <f t="shared" si="10"/>
        <v>0</v>
      </c>
    </row>
    <row r="47" spans="2:11" ht="12.75">
      <c r="B47" t="s">
        <v>33</v>
      </c>
      <c r="C47" s="2"/>
      <c r="D47" s="12">
        <f>D46</f>
        <v>26</v>
      </c>
      <c r="E47" s="12">
        <f>0.6*D47</f>
        <v>15.6</v>
      </c>
      <c r="F47" s="12">
        <f>IF('Pass&amp;CardChoice'!$B$33,D47-E47,IF('Pass&amp;CardChoice'!$B$34,D47,0))</f>
        <v>0</v>
      </c>
      <c r="G47" s="19"/>
      <c r="H47" s="1">
        <f>CHOOSE('Rental type'!A11,29,33,0)</f>
        <v>0</v>
      </c>
      <c r="I47" s="1">
        <f>0.6*H47</f>
        <v>0</v>
      </c>
      <c r="J47" s="1">
        <f t="shared" si="9"/>
        <v>0</v>
      </c>
      <c r="K47" s="12">
        <f t="shared" si="10"/>
        <v>0</v>
      </c>
    </row>
    <row r="48" spans="2:11" ht="12.75">
      <c r="B48" t="s">
        <v>55</v>
      </c>
      <c r="C48" s="2"/>
      <c r="D48" s="12">
        <f>D44/2</f>
        <v>15.5</v>
      </c>
      <c r="E48" s="12">
        <f>D48</f>
        <v>15.5</v>
      </c>
      <c r="F48" s="12">
        <f>IF('Pass&amp;CardChoice'!$B$33,D48-E48,IF('Pass&amp;CardChoice'!$B$34,D48,0))</f>
        <v>0</v>
      </c>
      <c r="G48" s="19"/>
      <c r="H48" s="1">
        <f>CHOOSE('Rental type'!A12,29,33,0)</f>
        <v>0</v>
      </c>
      <c r="I48" s="1">
        <f>0.6*H48</f>
        <v>0</v>
      </c>
      <c r="J48" s="1">
        <f>H48-I48</f>
        <v>0</v>
      </c>
      <c r="K48" s="12">
        <f>(C48*F48)+(G48*D48)+(C48*J48)+(G48*H48)</f>
        <v>0</v>
      </c>
    </row>
    <row r="49" ht="12.75">
      <c r="A49" t="s">
        <v>13</v>
      </c>
    </row>
    <row r="50" spans="2:11" ht="12.75">
      <c r="B50" t="s">
        <v>29</v>
      </c>
      <c r="C50" s="2"/>
      <c r="D50" s="12">
        <v>55</v>
      </c>
      <c r="E50" s="12">
        <f>0.6*D50</f>
        <v>33</v>
      </c>
      <c r="F50" s="12">
        <f>IF('Pass&amp;CardChoice'!$B$33,D50-E50,IF('Pass&amp;CardChoice'!$B$34,D50,0))</f>
        <v>0</v>
      </c>
      <c r="G50" s="19"/>
      <c r="H50" s="1">
        <f>CHOOSE('Rental type'!A5,45,49,0)</f>
        <v>0</v>
      </c>
      <c r="I50" s="1">
        <f aca="true" t="shared" si="11" ref="I50:I57">0.6*H50</f>
        <v>0</v>
      </c>
      <c r="J50" s="1">
        <f>(H50-I50)</f>
        <v>0</v>
      </c>
      <c r="K50" s="12">
        <f>(C50*F50)+(G50*D50)+(C50*J50)+(G50*H50)</f>
        <v>0</v>
      </c>
    </row>
    <row r="51" spans="2:11" ht="12.75">
      <c r="B51" t="s">
        <v>30</v>
      </c>
      <c r="C51" s="2"/>
      <c r="D51" s="12">
        <f>D50</f>
        <v>55</v>
      </c>
      <c r="E51" s="12">
        <f>0.6*D51</f>
        <v>33</v>
      </c>
      <c r="F51" s="12">
        <f>IF('Pass&amp;CardChoice'!$B$33,D51-E51,IF('Pass&amp;CardChoice'!$B$34,D51,0))</f>
        <v>0</v>
      </c>
      <c r="G51" s="19"/>
      <c r="H51" s="1">
        <f>CHOOSE('Rental type'!A6,45,49,0)</f>
        <v>0</v>
      </c>
      <c r="I51" s="1">
        <f t="shared" si="11"/>
        <v>0</v>
      </c>
      <c r="J51" s="1">
        <f aca="true" t="shared" si="12" ref="J51:J57">H51-I51</f>
        <v>0</v>
      </c>
      <c r="K51" s="12">
        <f aca="true" t="shared" si="13" ref="K51:K56">(C51*F51)+(G51*D51)+(C51*J51)+(G51*H51)</f>
        <v>0</v>
      </c>
    </row>
    <row r="52" spans="2:11" ht="12.75">
      <c r="B52" t="s">
        <v>45</v>
      </c>
      <c r="C52" s="2"/>
      <c r="D52" s="12">
        <f>D51</f>
        <v>55</v>
      </c>
      <c r="E52" s="12">
        <f>0.6*D52</f>
        <v>33</v>
      </c>
      <c r="F52" s="12">
        <f>IF('Pass&amp;CardChoice'!$B$33,D52-E52,IF('Pass&amp;CardChoice'!$B$34,D52,0))</f>
        <v>0</v>
      </c>
      <c r="G52" s="19"/>
      <c r="H52" s="1">
        <f>CHOOSE('Rental type'!A7,45,49,0)</f>
        <v>0</v>
      </c>
      <c r="I52" s="1">
        <f t="shared" si="11"/>
        <v>0</v>
      </c>
      <c r="J52" s="1">
        <f t="shared" si="12"/>
        <v>0</v>
      </c>
      <c r="K52" s="12">
        <f t="shared" si="13"/>
        <v>0</v>
      </c>
    </row>
    <row r="53" spans="2:11" ht="12.75">
      <c r="B53" t="s">
        <v>46</v>
      </c>
      <c r="C53" s="2"/>
      <c r="D53" s="12">
        <f>D52</f>
        <v>55</v>
      </c>
      <c r="E53" s="12">
        <f>0.6*D53</f>
        <v>33</v>
      </c>
      <c r="F53" s="12">
        <f>IF('Pass&amp;CardChoice'!$B$33,D53-E53,IF('Pass&amp;CardChoice'!$B$34,D53,0))</f>
        <v>0</v>
      </c>
      <c r="G53" s="19"/>
      <c r="H53" s="1">
        <f>CHOOSE('Rental type'!A8,45,49,0)</f>
        <v>0</v>
      </c>
      <c r="I53" s="1">
        <f t="shared" si="11"/>
        <v>0</v>
      </c>
      <c r="J53" s="1">
        <f t="shared" si="12"/>
        <v>0</v>
      </c>
      <c r="K53" s="12">
        <f t="shared" si="13"/>
        <v>0</v>
      </c>
    </row>
    <row r="54" spans="2:11" ht="12.75">
      <c r="B54" t="s">
        <v>31</v>
      </c>
      <c r="C54" s="2"/>
      <c r="D54" s="12">
        <v>47</v>
      </c>
      <c r="E54" s="12">
        <f t="shared" si="3"/>
        <v>28.2</v>
      </c>
      <c r="F54" s="12">
        <f>IF('Pass&amp;CardChoice'!$B$33,D54-E54,IF('Pass&amp;CardChoice'!$B$34,D54,0))</f>
        <v>0</v>
      </c>
      <c r="G54" s="19"/>
      <c r="H54" s="1">
        <f>CHOOSE('Rental type'!A9,45,49,0)</f>
        <v>0</v>
      </c>
      <c r="I54" s="1">
        <f t="shared" si="11"/>
        <v>0</v>
      </c>
      <c r="J54" s="1">
        <f t="shared" si="12"/>
        <v>0</v>
      </c>
      <c r="K54" s="12">
        <f t="shared" si="13"/>
        <v>0</v>
      </c>
    </row>
    <row r="55" spans="2:11" ht="12.75">
      <c r="B55" t="s">
        <v>32</v>
      </c>
      <c r="C55" s="2"/>
      <c r="D55" s="12">
        <f>D54</f>
        <v>47</v>
      </c>
      <c r="E55" s="12">
        <f t="shared" si="3"/>
        <v>28.2</v>
      </c>
      <c r="F55" s="12">
        <f>IF('Pass&amp;CardChoice'!$B$33,D55-E55,IF('Pass&amp;CardChoice'!$B$34,D55,0))</f>
        <v>0</v>
      </c>
      <c r="G55" s="19"/>
      <c r="H55" s="1">
        <f>CHOOSE('Rental type'!A10,45,49,0)</f>
        <v>0</v>
      </c>
      <c r="I55" s="1">
        <f t="shared" si="11"/>
        <v>0</v>
      </c>
      <c r="J55" s="1">
        <f t="shared" si="12"/>
        <v>0</v>
      </c>
      <c r="K55" s="12">
        <f t="shared" si="13"/>
        <v>0</v>
      </c>
    </row>
    <row r="56" spans="2:11" ht="12.75">
      <c r="B56" t="s">
        <v>33</v>
      </c>
      <c r="C56" s="2"/>
      <c r="D56" s="12">
        <f>D55</f>
        <v>47</v>
      </c>
      <c r="E56" s="12">
        <f t="shared" si="3"/>
        <v>28.2</v>
      </c>
      <c r="F56" s="12">
        <f>IF('Pass&amp;CardChoice'!$B$33,D56-E56,IF('Pass&amp;CardChoice'!$B$34,D56,0))</f>
        <v>0</v>
      </c>
      <c r="G56" s="19"/>
      <c r="H56" s="1">
        <f>CHOOSE('Rental type'!A11,45,49,0)</f>
        <v>0</v>
      </c>
      <c r="I56" s="1">
        <f t="shared" si="11"/>
        <v>0</v>
      </c>
      <c r="J56" s="1">
        <f t="shared" si="12"/>
        <v>0</v>
      </c>
      <c r="K56" s="12">
        <f t="shared" si="13"/>
        <v>0</v>
      </c>
    </row>
    <row r="57" spans="2:11" ht="12.75">
      <c r="B57" t="s">
        <v>55</v>
      </c>
      <c r="C57" s="2"/>
      <c r="D57" s="12">
        <f>D53/2</f>
        <v>27.5</v>
      </c>
      <c r="E57" s="12">
        <f>D57</f>
        <v>27.5</v>
      </c>
      <c r="F57" s="12">
        <f>IF('Pass&amp;CardChoice'!$B$33,D57-E57,IF('Pass&amp;CardChoice'!$B$34,D57,0))</f>
        <v>0</v>
      </c>
      <c r="G57" s="19"/>
      <c r="H57" s="1">
        <f>CHOOSE('Rental type'!A12,45,49,0)</f>
        <v>0</v>
      </c>
      <c r="I57" s="1">
        <f t="shared" si="11"/>
        <v>0</v>
      </c>
      <c r="J57" s="1">
        <f t="shared" si="12"/>
        <v>0</v>
      </c>
      <c r="K57" s="12">
        <f>(C57*F57)+(G57*D57)+(C57*J57)+(G57*H57)</f>
        <v>0</v>
      </c>
    </row>
    <row r="58" spans="1:11" ht="12.75">
      <c r="A58" t="s">
        <v>5</v>
      </c>
      <c r="D58" s="12"/>
      <c r="E58" s="12"/>
      <c r="F58" s="12"/>
      <c r="K58" s="12"/>
    </row>
    <row r="59" spans="2:11" ht="12.75">
      <c r="B59" t="s">
        <v>29</v>
      </c>
      <c r="C59" s="2"/>
      <c r="D59" s="12">
        <v>42</v>
      </c>
      <c r="E59" s="12">
        <f t="shared" si="3"/>
        <v>25.2</v>
      </c>
      <c r="F59" s="12">
        <f>IF('Pass&amp;CardChoice'!$B$33,D59-E59,IF('Pass&amp;CardChoice'!$B$34,D59,0))</f>
        <v>0</v>
      </c>
      <c r="G59" s="19"/>
      <c r="H59" s="1">
        <f>CHOOSE('Rental type'!A5,33,40,0)</f>
        <v>0</v>
      </c>
      <c r="I59" s="1">
        <f aca="true" t="shared" si="14" ref="I59:I75">0.6*H59</f>
        <v>0</v>
      </c>
      <c r="J59" s="1">
        <f aca="true" t="shared" si="15" ref="J59:J65">H59-I59</f>
        <v>0</v>
      </c>
      <c r="K59" s="12">
        <f aca="true" t="shared" si="16" ref="K59:K65">(C59*F59)+(G59*D59)+(C59*J59)+(G59*H59)</f>
        <v>0</v>
      </c>
    </row>
    <row r="60" spans="2:11" ht="12.75">
      <c r="B60" t="s">
        <v>30</v>
      </c>
      <c r="C60" s="2"/>
      <c r="D60" s="12">
        <f>D59</f>
        <v>42</v>
      </c>
      <c r="E60" s="12">
        <f t="shared" si="3"/>
        <v>25.2</v>
      </c>
      <c r="F60" s="12">
        <f>IF('Pass&amp;CardChoice'!$B$33,D60-E60,IF('Pass&amp;CardChoice'!$B$34,D60,0))</f>
        <v>0</v>
      </c>
      <c r="G60" s="19"/>
      <c r="H60" s="1">
        <f>CHOOSE('Rental type'!A6,33,40,0)</f>
        <v>0</v>
      </c>
      <c r="I60" s="1">
        <f t="shared" si="14"/>
        <v>0</v>
      </c>
      <c r="J60" s="1">
        <f t="shared" si="15"/>
        <v>0</v>
      </c>
      <c r="K60" s="12">
        <f t="shared" si="16"/>
        <v>0</v>
      </c>
    </row>
    <row r="61" spans="2:11" ht="12.75">
      <c r="B61" t="s">
        <v>45</v>
      </c>
      <c r="C61" s="2"/>
      <c r="D61" s="12">
        <f>D60</f>
        <v>42</v>
      </c>
      <c r="E61" s="12">
        <f t="shared" si="3"/>
        <v>25.2</v>
      </c>
      <c r="F61" s="12">
        <f>IF('Pass&amp;CardChoice'!$B$33,D61-E61,IF('Pass&amp;CardChoice'!$B$34,D61,0))</f>
        <v>0</v>
      </c>
      <c r="G61" s="19"/>
      <c r="H61" s="1">
        <f>CHOOSE('Rental type'!A7,33,40,0)</f>
        <v>0</v>
      </c>
      <c r="I61" s="1">
        <f t="shared" si="14"/>
        <v>0</v>
      </c>
      <c r="J61" s="1">
        <f>H61-I61</f>
        <v>0</v>
      </c>
      <c r="K61" s="12">
        <f t="shared" si="16"/>
        <v>0</v>
      </c>
    </row>
    <row r="62" spans="2:11" ht="12.75">
      <c r="B62" t="s">
        <v>46</v>
      </c>
      <c r="C62" s="2"/>
      <c r="D62" s="12">
        <f>D61</f>
        <v>42</v>
      </c>
      <c r="E62" s="12">
        <f t="shared" si="3"/>
        <v>25.2</v>
      </c>
      <c r="F62" s="12">
        <f>IF('Pass&amp;CardChoice'!$B$33,D62-E62,IF('Pass&amp;CardChoice'!$B$34,D62,0))</f>
        <v>0</v>
      </c>
      <c r="G62" s="19"/>
      <c r="H62" s="1">
        <f>CHOOSE('Rental type'!A8,33,40,0)</f>
        <v>0</v>
      </c>
      <c r="I62" s="1">
        <f t="shared" si="14"/>
        <v>0</v>
      </c>
      <c r="J62" s="1">
        <f>H62-I62</f>
        <v>0</v>
      </c>
      <c r="K62" s="12">
        <f t="shared" si="16"/>
        <v>0</v>
      </c>
    </row>
    <row r="63" spans="2:11" ht="12.75">
      <c r="B63" t="s">
        <v>31</v>
      </c>
      <c r="C63" s="2"/>
      <c r="D63" s="12">
        <v>36</v>
      </c>
      <c r="E63" s="12">
        <f t="shared" si="3"/>
        <v>21.599999999999998</v>
      </c>
      <c r="F63" s="12">
        <f>IF('Pass&amp;CardChoice'!$B$33,D63-E63,IF('Pass&amp;CardChoice'!$B$34,D63,0))</f>
        <v>0</v>
      </c>
      <c r="G63" s="19"/>
      <c r="H63" s="1">
        <f>CHOOSE('Rental type'!A9,33,40,0)</f>
        <v>0</v>
      </c>
      <c r="I63" s="1">
        <f t="shared" si="14"/>
        <v>0</v>
      </c>
      <c r="J63" s="1">
        <f t="shared" si="15"/>
        <v>0</v>
      </c>
      <c r="K63" s="12">
        <f t="shared" si="16"/>
        <v>0</v>
      </c>
    </row>
    <row r="64" spans="2:11" ht="12.75">
      <c r="B64" t="s">
        <v>32</v>
      </c>
      <c r="C64" s="2"/>
      <c r="D64" s="12">
        <f>D63</f>
        <v>36</v>
      </c>
      <c r="E64" s="12">
        <f t="shared" si="3"/>
        <v>21.599999999999998</v>
      </c>
      <c r="F64" s="12">
        <f>IF('Pass&amp;CardChoice'!$B$33,D64-E64,IF('Pass&amp;CardChoice'!$B$34,D64,0))</f>
        <v>0</v>
      </c>
      <c r="G64" s="19"/>
      <c r="H64" s="1">
        <f>CHOOSE('Rental type'!A10,33,40,0)</f>
        <v>0</v>
      </c>
      <c r="I64" s="1">
        <f t="shared" si="14"/>
        <v>0</v>
      </c>
      <c r="J64" s="1">
        <f t="shared" si="15"/>
        <v>0</v>
      </c>
      <c r="K64" s="12">
        <f t="shared" si="16"/>
        <v>0</v>
      </c>
    </row>
    <row r="65" spans="2:11" ht="12.75">
      <c r="B65" t="s">
        <v>33</v>
      </c>
      <c r="C65" s="2"/>
      <c r="D65" s="12">
        <f>D64</f>
        <v>36</v>
      </c>
      <c r="E65" s="12">
        <f t="shared" si="3"/>
        <v>21.599999999999998</v>
      </c>
      <c r="F65" s="12">
        <f>IF('Pass&amp;CardChoice'!$B$33,D65-E65,IF('Pass&amp;CardChoice'!$B$34,D65,0))</f>
        <v>0</v>
      </c>
      <c r="G65" s="19"/>
      <c r="H65" s="1">
        <f>CHOOSE('Rental type'!A11,33,40,0)</f>
        <v>0</v>
      </c>
      <c r="I65" s="1">
        <f t="shared" si="14"/>
        <v>0</v>
      </c>
      <c r="J65" s="1">
        <f t="shared" si="15"/>
        <v>0</v>
      </c>
      <c r="K65" s="12">
        <f t="shared" si="16"/>
        <v>0</v>
      </c>
    </row>
    <row r="66" spans="2:11" ht="12.75">
      <c r="B66" t="s">
        <v>55</v>
      </c>
      <c r="C66" s="2"/>
      <c r="D66" s="12">
        <f>D62/2</f>
        <v>21</v>
      </c>
      <c r="E66" s="12">
        <f>D66</f>
        <v>21</v>
      </c>
      <c r="F66" s="12">
        <f>IF('Pass&amp;CardChoice'!$B$33,D66-E66,IF('Pass&amp;CardChoice'!$B$34,D66,0))</f>
        <v>0</v>
      </c>
      <c r="G66" s="19"/>
      <c r="H66" s="1">
        <f>CHOOSE('Rental type'!A12,33,40,0)</f>
        <v>0</v>
      </c>
      <c r="I66" s="1">
        <f t="shared" si="14"/>
        <v>0</v>
      </c>
      <c r="J66" s="1">
        <f>H66-I66</f>
        <v>0</v>
      </c>
      <c r="K66" s="12">
        <f>(C66*F66)+(G66*D66)+(C66*J66)+(G66*H66)</f>
        <v>0</v>
      </c>
    </row>
    <row r="67" spans="1:11" ht="12.75">
      <c r="A67" t="s">
        <v>8</v>
      </c>
      <c r="D67" s="12"/>
      <c r="E67" s="12"/>
      <c r="F67" s="12"/>
      <c r="K67" s="12"/>
    </row>
    <row r="68" spans="2:11" ht="12.75">
      <c r="B68" t="s">
        <v>29</v>
      </c>
      <c r="C68" s="2"/>
      <c r="D68" s="12">
        <v>37</v>
      </c>
      <c r="E68" s="12">
        <f t="shared" si="3"/>
        <v>22.2</v>
      </c>
      <c r="F68" s="12">
        <f>IF('Pass&amp;CardChoice'!$B$33,D68-E68,IF('Pass&amp;CardChoice'!$B$34,D68,0))</f>
        <v>0</v>
      </c>
      <c r="G68" s="19"/>
      <c r="H68" s="1">
        <f>CHOOSE('Rental type'!A5,30,37,0)</f>
        <v>0</v>
      </c>
      <c r="I68" s="1">
        <f t="shared" si="14"/>
        <v>0</v>
      </c>
      <c r="J68" s="1">
        <f aca="true" t="shared" si="17" ref="J68:J74">H68-I68</f>
        <v>0</v>
      </c>
      <c r="K68" s="12">
        <f aca="true" t="shared" si="18" ref="K68:K74">(C68*F68)+(G68*D68)+(C68*J68)+(G68*H68)</f>
        <v>0</v>
      </c>
    </row>
    <row r="69" spans="2:11" ht="12.75">
      <c r="B69" t="s">
        <v>30</v>
      </c>
      <c r="C69" s="2"/>
      <c r="D69" s="12">
        <f>D68</f>
        <v>37</v>
      </c>
      <c r="E69" s="12">
        <f t="shared" si="3"/>
        <v>22.2</v>
      </c>
      <c r="F69" s="12">
        <f>IF('Pass&amp;CardChoice'!$B$33,D69-E69,IF('Pass&amp;CardChoice'!$B$34,D69,0))</f>
        <v>0</v>
      </c>
      <c r="G69" s="19"/>
      <c r="H69" s="1">
        <f>CHOOSE('Rental type'!A6,30,37,0)</f>
        <v>0</v>
      </c>
      <c r="I69" s="1">
        <f t="shared" si="14"/>
        <v>0</v>
      </c>
      <c r="J69" s="1">
        <f t="shared" si="17"/>
        <v>0</v>
      </c>
      <c r="K69" s="12">
        <f t="shared" si="18"/>
        <v>0</v>
      </c>
    </row>
    <row r="70" spans="2:11" ht="12.75">
      <c r="B70" t="s">
        <v>45</v>
      </c>
      <c r="C70" s="2"/>
      <c r="D70" s="12">
        <f>D69</f>
        <v>37</v>
      </c>
      <c r="E70" s="12">
        <f t="shared" si="3"/>
        <v>22.2</v>
      </c>
      <c r="F70" s="12">
        <f>IF('Pass&amp;CardChoice'!$B$33,D70-E70,IF('Pass&amp;CardChoice'!$B$34,D70,0))</f>
        <v>0</v>
      </c>
      <c r="G70" s="19"/>
      <c r="H70" s="1">
        <f>CHOOSE('Rental type'!A7,30,37,0)</f>
        <v>0</v>
      </c>
      <c r="I70" s="1">
        <f t="shared" si="14"/>
        <v>0</v>
      </c>
      <c r="J70" s="1">
        <f>H70-I70</f>
        <v>0</v>
      </c>
      <c r="K70" s="12">
        <f t="shared" si="18"/>
        <v>0</v>
      </c>
    </row>
    <row r="71" spans="2:11" ht="12.75">
      <c r="B71" t="s">
        <v>46</v>
      </c>
      <c r="C71" s="2"/>
      <c r="D71" s="12">
        <f>D70</f>
        <v>37</v>
      </c>
      <c r="E71" s="12">
        <f t="shared" si="3"/>
        <v>22.2</v>
      </c>
      <c r="F71" s="12">
        <f>IF('Pass&amp;CardChoice'!$B$33,D71-E71,IF('Pass&amp;CardChoice'!$B$34,D71,0))</f>
        <v>0</v>
      </c>
      <c r="G71" s="19"/>
      <c r="H71" s="1">
        <f>CHOOSE('Rental type'!A8,30,37,0)</f>
        <v>0</v>
      </c>
      <c r="I71" s="1">
        <f t="shared" si="14"/>
        <v>0</v>
      </c>
      <c r="J71" s="1">
        <f>H71-I71</f>
        <v>0</v>
      </c>
      <c r="K71" s="12">
        <f t="shared" si="18"/>
        <v>0</v>
      </c>
    </row>
    <row r="72" spans="2:11" ht="12.75">
      <c r="B72" t="s">
        <v>31</v>
      </c>
      <c r="C72" s="2"/>
      <c r="D72" s="12">
        <v>32</v>
      </c>
      <c r="E72" s="12">
        <f t="shared" si="3"/>
        <v>19.2</v>
      </c>
      <c r="F72" s="12">
        <f>IF('Pass&amp;CardChoice'!$B$33,D72-E72,IF('Pass&amp;CardChoice'!$B$34,D72,0))</f>
        <v>0</v>
      </c>
      <c r="G72" s="19"/>
      <c r="H72" s="1">
        <f>CHOOSE('Rental type'!A9,30,37,0)</f>
        <v>0</v>
      </c>
      <c r="I72" s="1">
        <f t="shared" si="14"/>
        <v>0</v>
      </c>
      <c r="J72" s="1">
        <f t="shared" si="17"/>
        <v>0</v>
      </c>
      <c r="K72" s="12">
        <f t="shared" si="18"/>
        <v>0</v>
      </c>
    </row>
    <row r="73" spans="2:11" ht="12.75">
      <c r="B73" t="s">
        <v>32</v>
      </c>
      <c r="C73" s="2"/>
      <c r="D73" s="12">
        <f>D72</f>
        <v>32</v>
      </c>
      <c r="E73" s="12">
        <f t="shared" si="3"/>
        <v>19.2</v>
      </c>
      <c r="F73" s="12">
        <f>IF('Pass&amp;CardChoice'!$B$33,D73-E73,IF('Pass&amp;CardChoice'!$B$34,D73,0))</f>
        <v>0</v>
      </c>
      <c r="G73" s="19"/>
      <c r="H73" s="1">
        <f>CHOOSE('Rental type'!A10,30,37,0)</f>
        <v>0</v>
      </c>
      <c r="I73" s="1">
        <f t="shared" si="14"/>
        <v>0</v>
      </c>
      <c r="J73" s="1">
        <f t="shared" si="17"/>
        <v>0</v>
      </c>
      <c r="K73" s="12">
        <f t="shared" si="18"/>
        <v>0</v>
      </c>
    </row>
    <row r="74" spans="2:11" ht="12.75">
      <c r="B74" t="s">
        <v>33</v>
      </c>
      <c r="C74" s="2"/>
      <c r="D74" s="12">
        <f>D73</f>
        <v>32</v>
      </c>
      <c r="E74" s="12">
        <f t="shared" si="3"/>
        <v>19.2</v>
      </c>
      <c r="F74" s="12">
        <f>IF('Pass&amp;CardChoice'!$B$33,D74-E74,IF('Pass&amp;CardChoice'!$B$34,D74,0))</f>
        <v>0</v>
      </c>
      <c r="G74" s="19"/>
      <c r="H74" s="1">
        <f>CHOOSE('Rental type'!A11,30,37,0)</f>
        <v>0</v>
      </c>
      <c r="I74" s="1">
        <f t="shared" si="14"/>
        <v>0</v>
      </c>
      <c r="J74" s="1">
        <f t="shared" si="17"/>
        <v>0</v>
      </c>
      <c r="K74" s="12">
        <f t="shared" si="18"/>
        <v>0</v>
      </c>
    </row>
    <row r="75" spans="2:11" ht="12.75">
      <c r="B75" t="s">
        <v>55</v>
      </c>
      <c r="C75" s="2"/>
      <c r="D75" s="12">
        <f>D71/2</f>
        <v>18.5</v>
      </c>
      <c r="E75" s="12">
        <f>D75</f>
        <v>18.5</v>
      </c>
      <c r="F75" s="12">
        <f>IF('Pass&amp;CardChoice'!$B$33,D75-E75,IF('Pass&amp;CardChoice'!$B$34,D75,0))</f>
        <v>0</v>
      </c>
      <c r="G75" s="19"/>
      <c r="H75" s="1">
        <f>CHOOSE('Rental type'!A12,30,37,0)</f>
        <v>0</v>
      </c>
      <c r="I75" s="1">
        <f t="shared" si="14"/>
        <v>0</v>
      </c>
      <c r="J75" s="1">
        <f>H75-I75</f>
        <v>0</v>
      </c>
      <c r="K75" s="12">
        <f>(C75*F75)+(G75*D75)+(C75*J75)+(G75*H75)</f>
        <v>0</v>
      </c>
    </row>
    <row r="76" spans="1:11" ht="12.75">
      <c r="A76" t="s">
        <v>15</v>
      </c>
      <c r="C76" s="2"/>
      <c r="D76" s="12">
        <v>28</v>
      </c>
      <c r="E76" s="12">
        <f>0.6*D76</f>
        <v>16.8</v>
      </c>
      <c r="F76" s="12">
        <f>IF('Pass&amp;CardChoice'!$B$33,D76-E76,IF('Pass&amp;CardChoice'!$B$34,0.5*D76,0))</f>
        <v>0</v>
      </c>
      <c r="K76" s="12">
        <f>(C76*F76)</f>
        <v>0</v>
      </c>
    </row>
    <row r="77" spans="4:11" ht="12.75">
      <c r="D77" s="12"/>
      <c r="E77" s="12"/>
      <c r="F77" s="12"/>
      <c r="K77" s="17">
        <f>SUM(K14:K76)</f>
        <v>0</v>
      </c>
    </row>
    <row r="78" spans="4:11" ht="24.75" customHeight="1">
      <c r="D78" s="12"/>
      <c r="E78" s="12"/>
      <c r="F78" s="12"/>
      <c r="K78" s="1" t="s">
        <v>24</v>
      </c>
    </row>
    <row r="79" spans="1:11" s="5" customFormat="1" ht="12.75">
      <c r="A79" s="10" t="s">
        <v>11</v>
      </c>
      <c r="D79" s="13"/>
      <c r="E79" s="13"/>
      <c r="F79" s="13"/>
      <c r="G79" s="6"/>
      <c r="H79" s="6"/>
      <c r="I79" s="6"/>
      <c r="J79" s="6"/>
      <c r="K79" s="13"/>
    </row>
    <row r="80" spans="3:11" ht="38.25">
      <c r="C80" s="1" t="s">
        <v>2</v>
      </c>
      <c r="D80" s="1" t="s">
        <v>28</v>
      </c>
      <c r="E80" s="14" t="s">
        <v>6</v>
      </c>
      <c r="F80" s="12" t="s">
        <v>0</v>
      </c>
      <c r="G80" s="1" t="s">
        <v>9</v>
      </c>
      <c r="H80" s="1" t="s">
        <v>50</v>
      </c>
      <c r="I80" s="1" t="s">
        <v>27</v>
      </c>
      <c r="J80" s="1" t="s">
        <v>51</v>
      </c>
      <c r="K80" s="1" t="s">
        <v>34</v>
      </c>
    </row>
    <row r="81" spans="1:11" ht="12.75">
      <c r="A81" t="s">
        <v>12</v>
      </c>
      <c r="D81" s="12"/>
      <c r="E81" s="12"/>
      <c r="F81" s="12"/>
      <c r="K81" s="12"/>
    </row>
    <row r="82" spans="2:11" ht="12.75">
      <c r="B82" t="s">
        <v>29</v>
      </c>
      <c r="C82" s="2"/>
      <c r="D82" s="12">
        <v>53</v>
      </c>
      <c r="E82" s="12">
        <f>0.6*D82</f>
        <v>31.799999999999997</v>
      </c>
      <c r="F82" s="12">
        <f>IF('Pass&amp;CardChoice'!$B$33,D82-E82,IF('Pass&amp;CardChoice'!$B$34,D82,0))</f>
        <v>0</v>
      </c>
      <c r="G82" s="19"/>
      <c r="H82" s="1">
        <f>CHOOSE('Rental type'!A5,38,44,0)</f>
        <v>0</v>
      </c>
      <c r="I82" s="1">
        <f aca="true" t="shared" si="19" ref="I82:I111">0.6*H82</f>
        <v>0</v>
      </c>
      <c r="J82" s="1">
        <f aca="true" t="shared" si="20" ref="J82:J88">H82-I82</f>
        <v>0</v>
      </c>
      <c r="K82" s="12">
        <f>(C82*F82)+(G82*D82)+(C82*J82)+(G82*H82)</f>
        <v>0</v>
      </c>
    </row>
    <row r="83" spans="2:11" ht="12.75">
      <c r="B83" t="s">
        <v>30</v>
      </c>
      <c r="C83" s="2"/>
      <c r="D83" s="12">
        <f>D82</f>
        <v>53</v>
      </c>
      <c r="E83" s="12">
        <f>0.6*D83</f>
        <v>31.799999999999997</v>
      </c>
      <c r="F83" s="12">
        <f>IF('Pass&amp;CardChoice'!$B$33,D83-E83,IF('Pass&amp;CardChoice'!$B$34,D83,0))</f>
        <v>0</v>
      </c>
      <c r="G83" s="19"/>
      <c r="H83" s="1">
        <f>CHOOSE('Rental type'!A6,38,44,0)</f>
        <v>0</v>
      </c>
      <c r="I83" s="1">
        <f t="shared" si="19"/>
        <v>0</v>
      </c>
      <c r="J83" s="1">
        <f t="shared" si="20"/>
        <v>0</v>
      </c>
      <c r="K83" s="12">
        <f aca="true" t="shared" si="21" ref="K83:K88">(C83*F83)+(G83*D83)+(C83*J83)+(G83*H83)</f>
        <v>0</v>
      </c>
    </row>
    <row r="84" spans="2:11" ht="12.75">
      <c r="B84" t="s">
        <v>45</v>
      </c>
      <c r="C84" s="2"/>
      <c r="D84" s="12">
        <f>D83</f>
        <v>53</v>
      </c>
      <c r="E84" s="12">
        <f>0.6*D84</f>
        <v>31.799999999999997</v>
      </c>
      <c r="F84" s="12">
        <f>IF('Pass&amp;CardChoice'!$B$33,D84-E84,IF('Pass&amp;CardChoice'!$B$34,D84,0))</f>
        <v>0</v>
      </c>
      <c r="G84" s="19"/>
      <c r="H84" s="1">
        <f>CHOOSE('Rental type'!A7,38,44,0)</f>
        <v>0</v>
      </c>
      <c r="I84" s="1">
        <f t="shared" si="19"/>
        <v>0</v>
      </c>
      <c r="J84" s="1">
        <f>H84-I84</f>
        <v>0</v>
      </c>
      <c r="K84" s="12">
        <f t="shared" si="21"/>
        <v>0</v>
      </c>
    </row>
    <row r="85" spans="2:11" ht="12.75">
      <c r="B85" t="s">
        <v>46</v>
      </c>
      <c r="C85" s="2"/>
      <c r="D85" s="12">
        <f>D84</f>
        <v>53</v>
      </c>
      <c r="E85" s="12">
        <f>0.6*D85</f>
        <v>31.799999999999997</v>
      </c>
      <c r="F85" s="12">
        <f>IF('Pass&amp;CardChoice'!$B$33,D85-E85,IF('Pass&amp;CardChoice'!$B$34,D85,0))</f>
        <v>0</v>
      </c>
      <c r="G85" s="19"/>
      <c r="H85" s="1">
        <f>CHOOSE('Rental type'!A8,38,44,0)</f>
        <v>0</v>
      </c>
      <c r="I85" s="1">
        <f t="shared" si="19"/>
        <v>0</v>
      </c>
      <c r="J85" s="1">
        <f>H85-I85</f>
        <v>0</v>
      </c>
      <c r="K85" s="12">
        <f t="shared" si="21"/>
        <v>0</v>
      </c>
    </row>
    <row r="86" spans="2:11" ht="12.75">
      <c r="B86" t="s">
        <v>31</v>
      </c>
      <c r="C86" s="2"/>
      <c r="D86" s="12">
        <v>47</v>
      </c>
      <c r="E86" s="12">
        <f aca="true" t="shared" si="22" ref="E86:E145">0.6*D86</f>
        <v>28.2</v>
      </c>
      <c r="F86" s="12">
        <f>IF('Pass&amp;CardChoice'!$B$33,D86-E86,IF('Pass&amp;CardChoice'!$B$34,D86,0))</f>
        <v>0</v>
      </c>
      <c r="G86" s="19"/>
      <c r="H86" s="1">
        <f>CHOOSE('Rental type'!A9,38,44,0)</f>
        <v>0</v>
      </c>
      <c r="I86" s="1">
        <f t="shared" si="19"/>
        <v>0</v>
      </c>
      <c r="J86" s="1">
        <f t="shared" si="20"/>
        <v>0</v>
      </c>
      <c r="K86" s="12">
        <f t="shared" si="21"/>
        <v>0</v>
      </c>
    </row>
    <row r="87" spans="2:11" ht="12.75">
      <c r="B87" t="s">
        <v>32</v>
      </c>
      <c r="C87" s="2"/>
      <c r="D87" s="12">
        <f>D86</f>
        <v>47</v>
      </c>
      <c r="E87" s="12">
        <f t="shared" si="22"/>
        <v>28.2</v>
      </c>
      <c r="F87" s="12">
        <f>IF('Pass&amp;CardChoice'!$B$33,D87-E87,IF('Pass&amp;CardChoice'!$B$34,D87,0))</f>
        <v>0</v>
      </c>
      <c r="G87" s="19"/>
      <c r="H87" s="1">
        <f>CHOOSE('Rental type'!A10,38,44,0)</f>
        <v>0</v>
      </c>
      <c r="I87" s="1">
        <f t="shared" si="19"/>
        <v>0</v>
      </c>
      <c r="J87" s="1">
        <f t="shared" si="20"/>
        <v>0</v>
      </c>
      <c r="K87" s="12">
        <f t="shared" si="21"/>
        <v>0</v>
      </c>
    </row>
    <row r="88" spans="2:11" ht="12.75">
      <c r="B88" t="s">
        <v>33</v>
      </c>
      <c r="C88" s="2"/>
      <c r="D88" s="12">
        <f>D87</f>
        <v>47</v>
      </c>
      <c r="E88" s="12">
        <f t="shared" si="22"/>
        <v>28.2</v>
      </c>
      <c r="F88" s="12">
        <f>IF('Pass&amp;CardChoice'!$B$33,D88-E88,IF('Pass&amp;CardChoice'!$B$34,D88,0))</f>
        <v>0</v>
      </c>
      <c r="G88" s="19"/>
      <c r="H88" s="1">
        <f>CHOOSE('Rental type'!A11,38,44,0)</f>
        <v>0</v>
      </c>
      <c r="I88" s="1">
        <f t="shared" si="19"/>
        <v>0</v>
      </c>
      <c r="J88" s="1">
        <f t="shared" si="20"/>
        <v>0</v>
      </c>
      <c r="K88" s="12">
        <f t="shared" si="21"/>
        <v>0</v>
      </c>
    </row>
    <row r="89" spans="2:11" ht="12.75">
      <c r="B89" t="s">
        <v>55</v>
      </c>
      <c r="C89" s="2"/>
      <c r="D89" s="12">
        <f>D82</f>
        <v>53</v>
      </c>
      <c r="E89" s="12">
        <f t="shared" si="22"/>
        <v>31.799999999999997</v>
      </c>
      <c r="F89" s="12">
        <f>IF('Pass&amp;CardChoice'!$B$33,D89-E89,IF('Pass&amp;CardChoice'!$B$34,D89,0))</f>
        <v>0</v>
      </c>
      <c r="G89" s="19"/>
      <c r="H89" s="1">
        <f>CHOOSE('Rental type'!A12,38,44,0)</f>
        <v>0</v>
      </c>
      <c r="I89" s="1">
        <f t="shared" si="19"/>
        <v>0</v>
      </c>
      <c r="J89" s="1">
        <f>H89-I89</f>
        <v>0</v>
      </c>
      <c r="K89" s="12">
        <f>(C89*F89)+(G89*D89)+(C89*J89)+(G89*H89)</f>
        <v>0</v>
      </c>
    </row>
    <row r="90" spans="1:11" ht="12.75">
      <c r="A90" t="s">
        <v>3</v>
      </c>
      <c r="D90" s="12"/>
      <c r="E90" s="12"/>
      <c r="F90" s="12"/>
      <c r="K90" s="12"/>
    </row>
    <row r="91" spans="2:11" ht="12.75">
      <c r="B91" t="s">
        <v>29</v>
      </c>
      <c r="C91" s="2"/>
      <c r="D91" s="12">
        <v>48</v>
      </c>
      <c r="E91" s="12">
        <f t="shared" si="22"/>
        <v>28.799999999999997</v>
      </c>
      <c r="F91" s="12">
        <f>IF('Pass&amp;CardChoice'!$B$33,D91-E91,IF('Pass&amp;CardChoice'!$B$34,D91,0))</f>
        <v>0</v>
      </c>
      <c r="G91" s="19"/>
      <c r="H91" s="1">
        <f>CHOOSE('Rental type'!A5,33,38,0)</f>
        <v>0</v>
      </c>
      <c r="I91" s="1">
        <f t="shared" si="19"/>
        <v>0</v>
      </c>
      <c r="J91" s="1">
        <f aca="true" t="shared" si="23" ref="J91:J97">H91-I91</f>
        <v>0</v>
      </c>
      <c r="K91" s="12">
        <f aca="true" t="shared" si="24" ref="K91:K97">(C91*F91)+(G91*D91)+(C91*J91)+(G91*H91)</f>
        <v>0</v>
      </c>
    </row>
    <row r="92" spans="2:11" ht="12.75">
      <c r="B92" t="s">
        <v>30</v>
      </c>
      <c r="C92" s="2"/>
      <c r="D92" s="12">
        <f>D91</f>
        <v>48</v>
      </c>
      <c r="E92" s="12">
        <f t="shared" si="22"/>
        <v>28.799999999999997</v>
      </c>
      <c r="F92" s="12">
        <f>IF('Pass&amp;CardChoice'!$B$33,D92-E92,IF('Pass&amp;CardChoice'!$B$34,D92,0))</f>
        <v>0</v>
      </c>
      <c r="G92" s="19"/>
      <c r="H92" s="1">
        <f>CHOOSE('Rental type'!A6,33,38,0)</f>
        <v>0</v>
      </c>
      <c r="I92" s="1">
        <f t="shared" si="19"/>
        <v>0</v>
      </c>
      <c r="J92" s="1">
        <f t="shared" si="23"/>
        <v>0</v>
      </c>
      <c r="K92" s="12">
        <f t="shared" si="24"/>
        <v>0</v>
      </c>
    </row>
    <row r="93" spans="2:11" ht="12.75">
      <c r="B93" t="s">
        <v>45</v>
      </c>
      <c r="C93" s="2"/>
      <c r="D93" s="12">
        <f>D92</f>
        <v>48</v>
      </c>
      <c r="E93" s="12">
        <f t="shared" si="22"/>
        <v>28.799999999999997</v>
      </c>
      <c r="F93" s="12">
        <f>IF('Pass&amp;CardChoice'!$B$33,D93-E93,IF('Pass&amp;CardChoice'!$B$34,D93,0))</f>
        <v>0</v>
      </c>
      <c r="G93" s="19"/>
      <c r="H93" s="1">
        <f>CHOOSE('Rental type'!A7,33,38,0)</f>
        <v>0</v>
      </c>
      <c r="I93" s="1">
        <f t="shared" si="19"/>
        <v>0</v>
      </c>
      <c r="J93" s="1">
        <f>H93-I93</f>
        <v>0</v>
      </c>
      <c r="K93" s="12">
        <f t="shared" si="24"/>
        <v>0</v>
      </c>
    </row>
    <row r="94" spans="2:11" ht="12.75">
      <c r="B94" t="s">
        <v>46</v>
      </c>
      <c r="C94" s="2"/>
      <c r="D94" s="12">
        <f>D93</f>
        <v>48</v>
      </c>
      <c r="E94" s="12">
        <f t="shared" si="22"/>
        <v>28.799999999999997</v>
      </c>
      <c r="F94" s="12">
        <f>IF('Pass&amp;CardChoice'!$B$33,D94-E94,IF('Pass&amp;CardChoice'!$B$34,D94,0))</f>
        <v>0</v>
      </c>
      <c r="G94" s="19"/>
      <c r="H94" s="1">
        <f>CHOOSE('Rental type'!A8,33,38,0)</f>
        <v>0</v>
      </c>
      <c r="I94" s="1">
        <f t="shared" si="19"/>
        <v>0</v>
      </c>
      <c r="J94" s="1">
        <f>H94-I94</f>
        <v>0</v>
      </c>
      <c r="K94" s="12">
        <f t="shared" si="24"/>
        <v>0</v>
      </c>
    </row>
    <row r="95" spans="2:11" ht="12.75">
      <c r="B95" t="s">
        <v>31</v>
      </c>
      <c r="C95" s="2"/>
      <c r="D95" s="12">
        <v>43</v>
      </c>
      <c r="E95" s="12">
        <f t="shared" si="22"/>
        <v>25.8</v>
      </c>
      <c r="F95" s="12">
        <f>IF('Pass&amp;CardChoice'!$B$33,D95-E95,IF('Pass&amp;CardChoice'!$B$34,D95,0))</f>
        <v>0</v>
      </c>
      <c r="G95" s="19"/>
      <c r="H95" s="1">
        <f>CHOOSE('Rental type'!A9,33,38,0)</f>
        <v>0</v>
      </c>
      <c r="I95" s="1">
        <f t="shared" si="19"/>
        <v>0</v>
      </c>
      <c r="J95" s="1">
        <f t="shared" si="23"/>
        <v>0</v>
      </c>
      <c r="K95" s="12">
        <f t="shared" si="24"/>
        <v>0</v>
      </c>
    </row>
    <row r="96" spans="2:11" ht="12.75">
      <c r="B96" t="s">
        <v>32</v>
      </c>
      <c r="C96" s="2"/>
      <c r="D96" s="12">
        <f>D95</f>
        <v>43</v>
      </c>
      <c r="E96" s="12">
        <f t="shared" si="22"/>
        <v>25.8</v>
      </c>
      <c r="F96" s="12">
        <f>IF('Pass&amp;CardChoice'!$B$33,D96-E96,IF('Pass&amp;CardChoice'!$B$34,D96,0))</f>
        <v>0</v>
      </c>
      <c r="G96" s="19"/>
      <c r="H96" s="1">
        <f>CHOOSE('Rental type'!A10,33,38,0)</f>
        <v>0</v>
      </c>
      <c r="I96" s="1">
        <f t="shared" si="19"/>
        <v>0</v>
      </c>
      <c r="J96" s="1">
        <f t="shared" si="23"/>
        <v>0</v>
      </c>
      <c r="K96" s="12">
        <f t="shared" si="24"/>
        <v>0</v>
      </c>
    </row>
    <row r="97" spans="2:11" ht="12.75">
      <c r="B97" t="s">
        <v>33</v>
      </c>
      <c r="C97" s="2"/>
      <c r="D97" s="12">
        <f>D96</f>
        <v>43</v>
      </c>
      <c r="E97" s="12">
        <f t="shared" si="22"/>
        <v>25.8</v>
      </c>
      <c r="F97" s="12">
        <f>IF('Pass&amp;CardChoice'!$B$33,D97-E97,IF('Pass&amp;CardChoice'!$B$34,D97,0))</f>
        <v>0</v>
      </c>
      <c r="G97" s="19"/>
      <c r="H97" s="1">
        <f>CHOOSE('Rental type'!A11,33,38,0)</f>
        <v>0</v>
      </c>
      <c r="I97" s="1">
        <f t="shared" si="19"/>
        <v>0</v>
      </c>
      <c r="J97" s="1">
        <f t="shared" si="23"/>
        <v>0</v>
      </c>
      <c r="K97" s="12">
        <f t="shared" si="24"/>
        <v>0</v>
      </c>
    </row>
    <row r="98" spans="2:11" ht="12.75">
      <c r="B98" t="s">
        <v>55</v>
      </c>
      <c r="C98" s="2"/>
      <c r="D98" s="12">
        <f>D91</f>
        <v>48</v>
      </c>
      <c r="E98" s="12">
        <f t="shared" si="22"/>
        <v>28.799999999999997</v>
      </c>
      <c r="F98" s="12">
        <f>IF('Pass&amp;CardChoice'!$B$33,D98-E98,IF('Pass&amp;CardChoice'!$B$34,D98,0))</f>
        <v>0</v>
      </c>
      <c r="G98" s="19"/>
      <c r="H98" s="1">
        <f>CHOOSE('Rental type'!A12,33,38,0)</f>
        <v>0</v>
      </c>
      <c r="I98" s="1">
        <f t="shared" si="19"/>
        <v>0</v>
      </c>
      <c r="J98" s="1">
        <f>H98-I98</f>
        <v>0</v>
      </c>
      <c r="K98" s="12">
        <f>(C98*F98)+(G98*D98)+(C98*J98)+(G98*H98)</f>
        <v>0</v>
      </c>
    </row>
    <row r="99" spans="1:11" ht="12.75">
      <c r="A99" t="s">
        <v>4</v>
      </c>
      <c r="D99" s="12"/>
      <c r="E99" s="12"/>
      <c r="F99" s="12"/>
      <c r="K99" s="12"/>
    </row>
    <row r="100" spans="2:11" ht="12.75">
      <c r="B100" t="s">
        <v>29</v>
      </c>
      <c r="C100" s="2"/>
      <c r="D100" s="12">
        <v>44</v>
      </c>
      <c r="E100" s="12">
        <f t="shared" si="22"/>
        <v>26.4</v>
      </c>
      <c r="F100" s="12">
        <f>IF('Pass&amp;CardChoice'!$B$33,D100-E100,IF('Pass&amp;CardChoice'!$B$34,D100,0))</f>
        <v>0</v>
      </c>
      <c r="G100" s="19"/>
      <c r="H100" s="1">
        <f>CHOOSE('Rental type'!A5,29,33,0)</f>
        <v>0</v>
      </c>
      <c r="I100" s="1">
        <f t="shared" si="19"/>
        <v>0</v>
      </c>
      <c r="J100" s="1">
        <f aca="true" t="shared" si="25" ref="J100:J106">H100-I100</f>
        <v>0</v>
      </c>
      <c r="K100" s="12">
        <f aca="true" t="shared" si="26" ref="K100:K106">(C100*F100)+(G100*D100)+(C100*J100)+(G100*H100)</f>
        <v>0</v>
      </c>
    </row>
    <row r="101" spans="2:11" ht="12.75">
      <c r="B101" t="s">
        <v>30</v>
      </c>
      <c r="C101" s="2"/>
      <c r="D101" s="12">
        <f>D100</f>
        <v>44</v>
      </c>
      <c r="E101" s="12">
        <f t="shared" si="22"/>
        <v>26.4</v>
      </c>
      <c r="F101" s="12">
        <f>IF('Pass&amp;CardChoice'!$B$33,D101-E101,IF('Pass&amp;CardChoice'!$B$34,D101,0))</f>
        <v>0</v>
      </c>
      <c r="G101" s="19"/>
      <c r="H101" s="1">
        <f>CHOOSE('Rental type'!A6,29,33,0)</f>
        <v>0</v>
      </c>
      <c r="I101" s="1">
        <f t="shared" si="19"/>
        <v>0</v>
      </c>
      <c r="J101" s="1">
        <f t="shared" si="25"/>
        <v>0</v>
      </c>
      <c r="K101" s="12">
        <f t="shared" si="26"/>
        <v>0</v>
      </c>
    </row>
    <row r="102" spans="2:11" ht="12.75">
      <c r="B102" t="s">
        <v>45</v>
      </c>
      <c r="C102" s="2"/>
      <c r="D102" s="12">
        <f>D101</f>
        <v>44</v>
      </c>
      <c r="E102" s="12">
        <f t="shared" si="22"/>
        <v>26.4</v>
      </c>
      <c r="F102" s="12">
        <f>IF('Pass&amp;CardChoice'!$B$33,D102-E102,IF('Pass&amp;CardChoice'!$B$34,D102,0))</f>
        <v>0</v>
      </c>
      <c r="G102" s="19"/>
      <c r="H102" s="1">
        <f>CHOOSE('Rental type'!A7,29,33,0)</f>
        <v>0</v>
      </c>
      <c r="I102" s="1">
        <f t="shared" si="19"/>
        <v>0</v>
      </c>
      <c r="J102" s="1">
        <f>H102-I102</f>
        <v>0</v>
      </c>
      <c r="K102" s="12">
        <f t="shared" si="26"/>
        <v>0</v>
      </c>
    </row>
    <row r="103" spans="2:11" ht="12.75">
      <c r="B103" t="s">
        <v>46</v>
      </c>
      <c r="C103" s="2"/>
      <c r="D103" s="12">
        <f>D102</f>
        <v>44</v>
      </c>
      <c r="E103" s="12">
        <f t="shared" si="22"/>
        <v>26.4</v>
      </c>
      <c r="F103" s="12">
        <f>IF('Pass&amp;CardChoice'!$B$33,D103-E103,IF('Pass&amp;CardChoice'!$B$34,D103,0))</f>
        <v>0</v>
      </c>
      <c r="G103" s="19"/>
      <c r="H103" s="1">
        <f>CHOOSE('Rental type'!A8,29,33,0)</f>
        <v>0</v>
      </c>
      <c r="I103" s="1">
        <f t="shared" si="19"/>
        <v>0</v>
      </c>
      <c r="J103" s="1">
        <f>H103-I103</f>
        <v>0</v>
      </c>
      <c r="K103" s="12">
        <f t="shared" si="26"/>
        <v>0</v>
      </c>
    </row>
    <row r="104" spans="2:11" ht="12.75">
      <c r="B104" t="s">
        <v>31</v>
      </c>
      <c r="C104" s="2"/>
      <c r="D104" s="12">
        <v>39</v>
      </c>
      <c r="E104" s="12">
        <f t="shared" si="22"/>
        <v>23.4</v>
      </c>
      <c r="F104" s="12">
        <f>IF('Pass&amp;CardChoice'!$B$33,D104-E104,IF('Pass&amp;CardChoice'!$B$34,D104,0))</f>
        <v>0</v>
      </c>
      <c r="G104" s="19"/>
      <c r="H104" s="1">
        <f>CHOOSE('Rental type'!A9,29,33,0)</f>
        <v>0</v>
      </c>
      <c r="I104" s="1">
        <f t="shared" si="19"/>
        <v>0</v>
      </c>
      <c r="J104" s="1">
        <f t="shared" si="25"/>
        <v>0</v>
      </c>
      <c r="K104" s="12">
        <f t="shared" si="26"/>
        <v>0</v>
      </c>
    </row>
    <row r="105" spans="2:11" ht="12.75">
      <c r="B105" t="s">
        <v>32</v>
      </c>
      <c r="C105" s="2"/>
      <c r="D105" s="12">
        <f>D104</f>
        <v>39</v>
      </c>
      <c r="E105" s="12">
        <f t="shared" si="22"/>
        <v>23.4</v>
      </c>
      <c r="F105" s="12">
        <f>IF('Pass&amp;CardChoice'!$B$33,D105-E105,IF('Pass&amp;CardChoice'!$B$34,D105,0))</f>
        <v>0</v>
      </c>
      <c r="G105" s="19"/>
      <c r="H105" s="1">
        <f>CHOOSE('Rental type'!A10,29,33,0)</f>
        <v>0</v>
      </c>
      <c r="I105" s="1">
        <f t="shared" si="19"/>
        <v>0</v>
      </c>
      <c r="J105" s="1">
        <f t="shared" si="25"/>
        <v>0</v>
      </c>
      <c r="K105" s="12">
        <f t="shared" si="26"/>
        <v>0</v>
      </c>
    </row>
    <row r="106" spans="2:11" ht="12.75">
      <c r="B106" t="s">
        <v>33</v>
      </c>
      <c r="C106" s="2"/>
      <c r="D106" s="12">
        <f>D105</f>
        <v>39</v>
      </c>
      <c r="E106" s="12">
        <f t="shared" si="22"/>
        <v>23.4</v>
      </c>
      <c r="F106" s="12">
        <f>IF('Pass&amp;CardChoice'!$B$33,D106-E106,IF('Pass&amp;CardChoice'!$B$34,D106,0))</f>
        <v>0</v>
      </c>
      <c r="G106" s="19"/>
      <c r="H106" s="1">
        <f>CHOOSE('Rental type'!A11,29,33,0)</f>
        <v>0</v>
      </c>
      <c r="I106" s="1">
        <f t="shared" si="19"/>
        <v>0</v>
      </c>
      <c r="J106" s="1">
        <f t="shared" si="25"/>
        <v>0</v>
      </c>
      <c r="K106" s="12">
        <f t="shared" si="26"/>
        <v>0</v>
      </c>
    </row>
    <row r="107" spans="2:11" ht="12.75">
      <c r="B107" t="s">
        <v>55</v>
      </c>
      <c r="C107" s="2"/>
      <c r="D107" s="12">
        <f>D100</f>
        <v>44</v>
      </c>
      <c r="E107" s="12">
        <f t="shared" si="22"/>
        <v>26.4</v>
      </c>
      <c r="F107" s="12">
        <f>IF('Pass&amp;CardChoice'!$B$33,D107-E107,IF('Pass&amp;CardChoice'!$B$34,D107,0))</f>
        <v>0</v>
      </c>
      <c r="G107" s="19"/>
      <c r="H107" s="1">
        <f>CHOOSE('Rental type'!A12,29,33,0)</f>
        <v>0</v>
      </c>
      <c r="I107" s="1">
        <f t="shared" si="19"/>
        <v>0</v>
      </c>
      <c r="J107" s="1">
        <f>H107-I107</f>
        <v>0</v>
      </c>
      <c r="K107" s="12">
        <f>(C107*F107)+(G107*D107)+(C107*J107)+(G107*H107)</f>
        <v>0</v>
      </c>
    </row>
    <row r="108" spans="1:11" ht="12.75">
      <c r="A108" t="s">
        <v>7</v>
      </c>
      <c r="D108" s="12"/>
      <c r="E108" s="12"/>
      <c r="F108" s="12"/>
      <c r="K108" s="12"/>
    </row>
    <row r="109" spans="2:11" ht="12.75">
      <c r="B109" t="s">
        <v>29</v>
      </c>
      <c r="C109" s="2"/>
      <c r="D109" s="12">
        <v>31</v>
      </c>
      <c r="E109" s="12">
        <f aca="true" t="shared" si="27" ref="E109:E115">0.6*D109</f>
        <v>18.599999999999998</v>
      </c>
      <c r="F109" s="12">
        <f>IF('Pass&amp;CardChoice'!$B$33,D109-E109,IF('Pass&amp;CardChoice'!$B$34,D109,0))</f>
        <v>0</v>
      </c>
      <c r="G109" s="19"/>
      <c r="H109" s="1">
        <f>CHOOSE('Rental type'!A5,29,33,0)</f>
        <v>0</v>
      </c>
      <c r="I109" s="1">
        <f t="shared" si="19"/>
        <v>0</v>
      </c>
      <c r="J109" s="1">
        <f aca="true" t="shared" si="28" ref="J109:J115">H109-I109</f>
        <v>0</v>
      </c>
      <c r="K109" s="12">
        <f aca="true" t="shared" si="29" ref="K109:K115">(C109*F109)+(G109*D109)+(C109*J109)+(G109*H109)</f>
        <v>0</v>
      </c>
    </row>
    <row r="110" spans="2:11" ht="12.75">
      <c r="B110" t="s">
        <v>30</v>
      </c>
      <c r="C110" s="2"/>
      <c r="D110" s="12">
        <f>D109</f>
        <v>31</v>
      </c>
      <c r="E110" s="12">
        <f t="shared" si="27"/>
        <v>18.599999999999998</v>
      </c>
      <c r="F110" s="12">
        <f>IF('Pass&amp;CardChoice'!$B$33,D110-E110,IF('Pass&amp;CardChoice'!$B$34,D110,0))</f>
        <v>0</v>
      </c>
      <c r="G110" s="19"/>
      <c r="H110" s="1">
        <f>CHOOSE('Rental type'!A6,29,33,0)</f>
        <v>0</v>
      </c>
      <c r="I110" s="1">
        <f>0.6*H110</f>
        <v>0</v>
      </c>
      <c r="J110" s="1">
        <f t="shared" si="28"/>
        <v>0</v>
      </c>
      <c r="K110" s="12">
        <f t="shared" si="29"/>
        <v>0</v>
      </c>
    </row>
    <row r="111" spans="2:11" ht="12.75">
      <c r="B111" t="s">
        <v>45</v>
      </c>
      <c r="C111" s="2"/>
      <c r="D111" s="12">
        <f>D110</f>
        <v>31</v>
      </c>
      <c r="E111" s="12">
        <f t="shared" si="27"/>
        <v>18.599999999999998</v>
      </c>
      <c r="F111" s="12">
        <f>IF('Pass&amp;CardChoice'!$B$33,D111-E111,IF('Pass&amp;CardChoice'!$B$34,D111,0))</f>
        <v>0</v>
      </c>
      <c r="G111" s="19"/>
      <c r="H111" s="1">
        <f>CHOOSE('Rental type'!A7,29,33,0)</f>
        <v>0</v>
      </c>
      <c r="I111" s="1">
        <f t="shared" si="19"/>
        <v>0</v>
      </c>
      <c r="J111" s="1">
        <f>H111-I111</f>
        <v>0</v>
      </c>
      <c r="K111" s="12">
        <f t="shared" si="29"/>
        <v>0</v>
      </c>
    </row>
    <row r="112" spans="2:11" ht="12.75">
      <c r="B112" t="s">
        <v>46</v>
      </c>
      <c r="C112" s="2"/>
      <c r="D112" s="12">
        <f>D111</f>
        <v>31</v>
      </c>
      <c r="E112" s="12">
        <f t="shared" si="27"/>
        <v>18.599999999999998</v>
      </c>
      <c r="F112" s="12">
        <f>IF('Pass&amp;CardChoice'!$B$33,D112-E112,IF('Pass&amp;CardChoice'!$B$34,D112,0))</f>
        <v>0</v>
      </c>
      <c r="G112" s="19"/>
      <c r="H112" s="1">
        <f>CHOOSE('Rental type'!A8,29,33,0)</f>
        <v>0</v>
      </c>
      <c r="I112" s="1">
        <f>0.6*H112</f>
        <v>0</v>
      </c>
      <c r="J112" s="1">
        <f>H112-I112</f>
        <v>0</v>
      </c>
      <c r="K112" s="12">
        <f t="shared" si="29"/>
        <v>0</v>
      </c>
    </row>
    <row r="113" spans="2:11" ht="12.75">
      <c r="B113" t="s">
        <v>31</v>
      </c>
      <c r="C113" s="2"/>
      <c r="D113" s="12">
        <v>26</v>
      </c>
      <c r="E113" s="12">
        <f t="shared" si="27"/>
        <v>15.6</v>
      </c>
      <c r="F113" s="12">
        <f>IF('Pass&amp;CardChoice'!$B$33,D113-E113,IF('Pass&amp;CardChoice'!$B$34,D113,0))</f>
        <v>0</v>
      </c>
      <c r="G113" s="19"/>
      <c r="H113" s="1">
        <f>CHOOSE('Rental type'!A9,29,33,0)</f>
        <v>0</v>
      </c>
      <c r="I113" s="1">
        <f>0.6*H113</f>
        <v>0</v>
      </c>
      <c r="J113" s="1">
        <f t="shared" si="28"/>
        <v>0</v>
      </c>
      <c r="K113" s="12">
        <f t="shared" si="29"/>
        <v>0</v>
      </c>
    </row>
    <row r="114" spans="2:11" ht="12.75">
      <c r="B114" t="s">
        <v>32</v>
      </c>
      <c r="C114" s="2"/>
      <c r="D114" s="12">
        <f>D113</f>
        <v>26</v>
      </c>
      <c r="E114" s="12">
        <f t="shared" si="27"/>
        <v>15.6</v>
      </c>
      <c r="F114" s="12">
        <f>IF('Pass&amp;CardChoice'!$B$33,D114-E114,IF('Pass&amp;CardChoice'!$B$34,D114,0))</f>
        <v>0</v>
      </c>
      <c r="G114" s="19"/>
      <c r="H114" s="1">
        <f>CHOOSE('Rental type'!A10,29,33,0)</f>
        <v>0</v>
      </c>
      <c r="I114" s="1">
        <f aca="true" t="shared" si="30" ref="I114:I143">0.6*H114</f>
        <v>0</v>
      </c>
      <c r="J114" s="1">
        <f t="shared" si="28"/>
        <v>0</v>
      </c>
      <c r="K114" s="12">
        <f t="shared" si="29"/>
        <v>0</v>
      </c>
    </row>
    <row r="115" spans="2:11" ht="12.75">
      <c r="B115" t="s">
        <v>33</v>
      </c>
      <c r="C115" s="2"/>
      <c r="D115" s="12">
        <f>D114</f>
        <v>26</v>
      </c>
      <c r="E115" s="12">
        <f t="shared" si="27"/>
        <v>15.6</v>
      </c>
      <c r="F115" s="12">
        <f>IF('Pass&amp;CardChoice'!$B$33,D115-E115,IF('Pass&amp;CardChoice'!$B$34,D115,0))</f>
        <v>0</v>
      </c>
      <c r="G115" s="19"/>
      <c r="H115" s="1">
        <f>CHOOSE('Rental type'!A11,29,33,0)</f>
        <v>0</v>
      </c>
      <c r="I115" s="1">
        <f t="shared" si="30"/>
        <v>0</v>
      </c>
      <c r="J115" s="1">
        <f t="shared" si="28"/>
        <v>0</v>
      </c>
      <c r="K115" s="12">
        <f t="shared" si="29"/>
        <v>0</v>
      </c>
    </row>
    <row r="116" spans="2:11" ht="12.75">
      <c r="B116" t="s">
        <v>55</v>
      </c>
      <c r="C116" s="2"/>
      <c r="D116" s="12">
        <f>D109/2</f>
        <v>15.5</v>
      </c>
      <c r="E116" s="12">
        <f>D116</f>
        <v>15.5</v>
      </c>
      <c r="F116" s="12">
        <f>IF('Pass&amp;CardChoice'!$B$33,D116-E116,IF('Pass&amp;CardChoice'!$B$34,D116,0))</f>
        <v>0</v>
      </c>
      <c r="G116" s="19"/>
      <c r="H116" s="1">
        <f>CHOOSE('Rental type'!A12,29,33,0)</f>
        <v>0</v>
      </c>
      <c r="I116" s="1">
        <f t="shared" si="30"/>
        <v>0</v>
      </c>
      <c r="J116" s="1">
        <f>H116-I116</f>
        <v>0</v>
      </c>
      <c r="K116" s="12">
        <f>(C116*F116)+(G116*D116)+(C116*J116)+(G116*H116)</f>
        <v>0</v>
      </c>
    </row>
    <row r="117" spans="1:11" ht="12.75">
      <c r="A117" t="s">
        <v>13</v>
      </c>
      <c r="D117" s="12"/>
      <c r="E117" s="12"/>
      <c r="F117" s="12"/>
      <c r="K117" s="12"/>
    </row>
    <row r="118" spans="2:11" ht="12.75">
      <c r="B118" t="s">
        <v>29</v>
      </c>
      <c r="C118" s="2"/>
      <c r="D118" s="12">
        <v>47</v>
      </c>
      <c r="E118" s="12">
        <f>0.6*D118</f>
        <v>28.2</v>
      </c>
      <c r="F118" s="12">
        <f>IF('Pass&amp;CardChoice'!$B$33,D118-E118,IF('Pass&amp;CardChoice'!$B$34,D118,0))</f>
        <v>0</v>
      </c>
      <c r="G118" s="19"/>
      <c r="H118" s="1">
        <f>CHOOSE('Rental type'!A5,38,44,0)</f>
        <v>0</v>
      </c>
      <c r="I118" s="1">
        <f t="shared" si="30"/>
        <v>0</v>
      </c>
      <c r="J118" s="1">
        <f aca="true" t="shared" si="31" ref="J118:J124">H118-I118</f>
        <v>0</v>
      </c>
      <c r="K118" s="12">
        <f aca="true" t="shared" si="32" ref="K118:K124">(C118*F118)+(G118*D118)+(C118*J118)+(G118*H118)</f>
        <v>0</v>
      </c>
    </row>
    <row r="119" spans="2:11" ht="12.75">
      <c r="B119" t="s">
        <v>30</v>
      </c>
      <c r="C119" s="2"/>
      <c r="D119" s="12">
        <f>D118</f>
        <v>47</v>
      </c>
      <c r="E119" s="12">
        <f>0.6*D119</f>
        <v>28.2</v>
      </c>
      <c r="F119" s="12">
        <f>IF('Pass&amp;CardChoice'!$B$33,D119-E119,IF('Pass&amp;CardChoice'!$B$34,D119,0))</f>
        <v>0</v>
      </c>
      <c r="G119" s="19"/>
      <c r="H119" s="1">
        <f>CHOOSE('Rental type'!A6,38,44,0)</f>
        <v>0</v>
      </c>
      <c r="I119" s="1">
        <f t="shared" si="30"/>
        <v>0</v>
      </c>
      <c r="J119" s="1">
        <f t="shared" si="31"/>
        <v>0</v>
      </c>
      <c r="K119" s="12">
        <f t="shared" si="32"/>
        <v>0</v>
      </c>
    </row>
    <row r="120" spans="2:11" ht="12.75">
      <c r="B120" t="s">
        <v>45</v>
      </c>
      <c r="C120" s="2"/>
      <c r="D120" s="12">
        <f>D119</f>
        <v>47</v>
      </c>
      <c r="E120" s="12">
        <f>0.6*D120</f>
        <v>28.2</v>
      </c>
      <c r="F120" s="12">
        <f>IF('Pass&amp;CardChoice'!$B$33,D120-E120,IF('Pass&amp;CardChoice'!$B$34,D120,0))</f>
        <v>0</v>
      </c>
      <c r="G120" s="19"/>
      <c r="H120" s="1">
        <f>CHOOSE('Rental type'!A7,38,44,0)</f>
        <v>0</v>
      </c>
      <c r="I120" s="1">
        <f t="shared" si="30"/>
        <v>0</v>
      </c>
      <c r="J120" s="1">
        <f>H120-I120</f>
        <v>0</v>
      </c>
      <c r="K120" s="12">
        <f t="shared" si="32"/>
        <v>0</v>
      </c>
    </row>
    <row r="121" spans="2:11" ht="12.75">
      <c r="B121" t="s">
        <v>46</v>
      </c>
      <c r="C121" s="2"/>
      <c r="D121" s="12">
        <f>D120</f>
        <v>47</v>
      </c>
      <c r="E121" s="12">
        <f>0.6*D121</f>
        <v>28.2</v>
      </c>
      <c r="F121" s="12">
        <f>IF('Pass&amp;CardChoice'!$B$33,D121-E121,IF('Pass&amp;CardChoice'!$B$34,D121,0))</f>
        <v>0</v>
      </c>
      <c r="G121" s="19"/>
      <c r="H121" s="1">
        <f>CHOOSE('Rental type'!A8,38,44,0)</f>
        <v>0</v>
      </c>
      <c r="I121" s="1">
        <f t="shared" si="30"/>
        <v>0</v>
      </c>
      <c r="J121" s="1">
        <f>H121-I121</f>
        <v>0</v>
      </c>
      <c r="K121" s="12">
        <f t="shared" si="32"/>
        <v>0</v>
      </c>
    </row>
    <row r="122" spans="2:11" ht="12.75">
      <c r="B122" t="s">
        <v>31</v>
      </c>
      <c r="C122" s="2"/>
      <c r="D122" s="12">
        <v>41</v>
      </c>
      <c r="E122" s="12">
        <f t="shared" si="22"/>
        <v>24.599999999999998</v>
      </c>
      <c r="F122" s="12">
        <f>IF('Pass&amp;CardChoice'!$B$33,D122-E122,IF('Pass&amp;CardChoice'!$B$34,D122,0))</f>
        <v>0</v>
      </c>
      <c r="G122" s="19"/>
      <c r="H122" s="1">
        <f>CHOOSE('Rental type'!A9,38,44,0)</f>
        <v>0</v>
      </c>
      <c r="I122" s="1">
        <f t="shared" si="30"/>
        <v>0</v>
      </c>
      <c r="J122" s="1">
        <f t="shared" si="31"/>
        <v>0</v>
      </c>
      <c r="K122" s="12">
        <f t="shared" si="32"/>
        <v>0</v>
      </c>
    </row>
    <row r="123" spans="2:11" ht="12.75">
      <c r="B123" t="s">
        <v>32</v>
      </c>
      <c r="C123" s="2"/>
      <c r="D123" s="12">
        <f>D122</f>
        <v>41</v>
      </c>
      <c r="E123" s="12">
        <f t="shared" si="22"/>
        <v>24.599999999999998</v>
      </c>
      <c r="F123" s="12">
        <f>IF('Pass&amp;CardChoice'!$B$33,D123-E123,IF('Pass&amp;CardChoice'!$B$34,D123,0))</f>
        <v>0</v>
      </c>
      <c r="G123" s="19"/>
      <c r="H123" s="1">
        <f>CHOOSE('Rental type'!A10,38,44,0)</f>
        <v>0</v>
      </c>
      <c r="I123" s="1">
        <f t="shared" si="30"/>
        <v>0</v>
      </c>
      <c r="J123" s="1">
        <f t="shared" si="31"/>
        <v>0</v>
      </c>
      <c r="K123" s="12">
        <f t="shared" si="32"/>
        <v>0</v>
      </c>
    </row>
    <row r="124" spans="2:11" ht="12.75">
      <c r="B124" t="s">
        <v>33</v>
      </c>
      <c r="C124" s="2"/>
      <c r="D124" s="12">
        <f>D123</f>
        <v>41</v>
      </c>
      <c r="E124" s="12">
        <f t="shared" si="22"/>
        <v>24.599999999999998</v>
      </c>
      <c r="F124" s="12">
        <f>IF('Pass&amp;CardChoice'!$B$33,D124-E124,IF('Pass&amp;CardChoice'!$B$34,D124,0))</f>
        <v>0</v>
      </c>
      <c r="G124" s="19"/>
      <c r="H124" s="1">
        <f>CHOOSE('Rental type'!A11,38,44,0)</f>
        <v>0</v>
      </c>
      <c r="I124" s="1">
        <f t="shared" si="30"/>
        <v>0</v>
      </c>
      <c r="J124" s="1">
        <f t="shared" si="31"/>
        <v>0</v>
      </c>
      <c r="K124" s="12">
        <f t="shared" si="32"/>
        <v>0</v>
      </c>
    </row>
    <row r="125" spans="2:11" ht="12.75">
      <c r="B125" t="s">
        <v>55</v>
      </c>
      <c r="C125" s="2"/>
      <c r="D125" s="12">
        <f>D118/2</f>
        <v>23.5</v>
      </c>
      <c r="E125" s="12">
        <f>D125</f>
        <v>23.5</v>
      </c>
      <c r="F125" s="12">
        <f>IF('Pass&amp;CardChoice'!$B$33,D125-E125,IF('Pass&amp;CardChoice'!$B$34,D125,0))</f>
        <v>0</v>
      </c>
      <c r="G125" s="19"/>
      <c r="H125" s="1">
        <f>CHOOSE('Rental type'!A12,38,44,0)</f>
        <v>0</v>
      </c>
      <c r="I125" s="1">
        <f t="shared" si="30"/>
        <v>0</v>
      </c>
      <c r="J125" s="1">
        <f>H125-I125</f>
        <v>0</v>
      </c>
      <c r="K125" s="12">
        <f>(C125*F125)+(G125*D125)+(C125*J125)+(G125*H125)</f>
        <v>0</v>
      </c>
    </row>
    <row r="126" spans="1:11" ht="12.75">
      <c r="A126" t="s">
        <v>5</v>
      </c>
      <c r="D126" s="12"/>
      <c r="E126" s="12"/>
      <c r="F126" s="12"/>
      <c r="K126" s="12"/>
    </row>
    <row r="127" spans="2:11" ht="12.75">
      <c r="B127" t="s">
        <v>29</v>
      </c>
      <c r="C127" s="2"/>
      <c r="D127" s="12">
        <v>40</v>
      </c>
      <c r="E127" s="12">
        <f t="shared" si="22"/>
        <v>24</v>
      </c>
      <c r="F127" s="12">
        <f>IF('Pass&amp;CardChoice'!$B$33,D127-E127,IF('Pass&amp;CardChoice'!$B$34,D127,0))</f>
        <v>0</v>
      </c>
      <c r="G127" s="19"/>
      <c r="H127" s="1">
        <f>CHOOSE('Rental type'!A5,33,38,0)</f>
        <v>0</v>
      </c>
      <c r="I127" s="1">
        <f t="shared" si="30"/>
        <v>0</v>
      </c>
      <c r="J127" s="1">
        <f aca="true" t="shared" si="33" ref="J127:J133">H127-I127</f>
        <v>0</v>
      </c>
      <c r="K127" s="12">
        <f aca="true" t="shared" si="34" ref="K127:K133">(C127*F127)+(G127*D127)+(C127*J127)+(G127*H127)</f>
        <v>0</v>
      </c>
    </row>
    <row r="128" spans="2:11" ht="12.75">
      <c r="B128" t="s">
        <v>30</v>
      </c>
      <c r="C128" s="2"/>
      <c r="D128" s="12">
        <f>D127</f>
        <v>40</v>
      </c>
      <c r="E128" s="12">
        <f t="shared" si="22"/>
        <v>24</v>
      </c>
      <c r="F128" s="12">
        <f>IF('Pass&amp;CardChoice'!$B$33,D128-E128,IF('Pass&amp;CardChoice'!$B$34,D128,0))</f>
        <v>0</v>
      </c>
      <c r="G128" s="19"/>
      <c r="H128" s="1">
        <f>CHOOSE('Rental type'!A6,33,38,0)</f>
        <v>0</v>
      </c>
      <c r="I128" s="1">
        <f t="shared" si="30"/>
        <v>0</v>
      </c>
      <c r="J128" s="1">
        <f t="shared" si="33"/>
        <v>0</v>
      </c>
      <c r="K128" s="12">
        <f t="shared" si="34"/>
        <v>0</v>
      </c>
    </row>
    <row r="129" spans="2:11" ht="12.75">
      <c r="B129" t="s">
        <v>45</v>
      </c>
      <c r="C129" s="2"/>
      <c r="D129" s="12">
        <f>D128</f>
        <v>40</v>
      </c>
      <c r="E129" s="12">
        <f t="shared" si="22"/>
        <v>24</v>
      </c>
      <c r="F129" s="12">
        <f>IF('Pass&amp;CardChoice'!$B$33,D129-E129,IF('Pass&amp;CardChoice'!$B$34,D129,0))</f>
        <v>0</v>
      </c>
      <c r="G129" s="19"/>
      <c r="H129" s="1">
        <f>CHOOSE('Rental type'!A7,33,38,0)</f>
        <v>0</v>
      </c>
      <c r="I129" s="1">
        <f t="shared" si="30"/>
        <v>0</v>
      </c>
      <c r="J129" s="1">
        <f>H129-I129</f>
        <v>0</v>
      </c>
      <c r="K129" s="12">
        <f t="shared" si="34"/>
        <v>0</v>
      </c>
    </row>
    <row r="130" spans="2:11" ht="12.75">
      <c r="B130" t="s">
        <v>46</v>
      </c>
      <c r="C130" s="2"/>
      <c r="D130" s="12">
        <f>D129</f>
        <v>40</v>
      </c>
      <c r="E130" s="12">
        <f t="shared" si="22"/>
        <v>24</v>
      </c>
      <c r="F130" s="12">
        <f>IF('Pass&amp;CardChoice'!$B$33,D130-E130,IF('Pass&amp;CardChoice'!$B$34,D130,0))</f>
        <v>0</v>
      </c>
      <c r="G130" s="19"/>
      <c r="H130" s="1">
        <f>CHOOSE('Rental type'!A8,33,38,0)</f>
        <v>0</v>
      </c>
      <c r="I130" s="1">
        <f t="shared" si="30"/>
        <v>0</v>
      </c>
      <c r="J130" s="1">
        <f>H130-I130</f>
        <v>0</v>
      </c>
      <c r="K130" s="12">
        <f t="shared" si="34"/>
        <v>0</v>
      </c>
    </row>
    <row r="131" spans="2:11" ht="12.75">
      <c r="B131" t="s">
        <v>31</v>
      </c>
      <c r="C131" s="2"/>
      <c r="D131" s="12">
        <v>35</v>
      </c>
      <c r="E131" s="12">
        <f t="shared" si="22"/>
        <v>21</v>
      </c>
      <c r="F131" s="12">
        <f>IF('Pass&amp;CardChoice'!$B$33,D131-E131,IF('Pass&amp;CardChoice'!$B$34,D131,0))</f>
        <v>0</v>
      </c>
      <c r="G131" s="19"/>
      <c r="H131" s="1">
        <f>CHOOSE('Rental type'!A9,33,38,0)</f>
        <v>0</v>
      </c>
      <c r="I131" s="1">
        <f t="shared" si="30"/>
        <v>0</v>
      </c>
      <c r="J131" s="1">
        <f t="shared" si="33"/>
        <v>0</v>
      </c>
      <c r="K131" s="12">
        <f t="shared" si="34"/>
        <v>0</v>
      </c>
    </row>
    <row r="132" spans="2:11" ht="12.75">
      <c r="B132" t="s">
        <v>32</v>
      </c>
      <c r="C132" s="2"/>
      <c r="D132" s="12">
        <f>D131</f>
        <v>35</v>
      </c>
      <c r="E132" s="12">
        <f t="shared" si="22"/>
        <v>21</v>
      </c>
      <c r="F132" s="12">
        <f>IF('Pass&amp;CardChoice'!$B$33,D132-E132,IF('Pass&amp;CardChoice'!$B$34,D132,0))</f>
        <v>0</v>
      </c>
      <c r="G132" s="19"/>
      <c r="H132" s="1">
        <f>CHOOSE('Rental type'!A10,33,38,0)</f>
        <v>0</v>
      </c>
      <c r="I132" s="1">
        <f t="shared" si="30"/>
        <v>0</v>
      </c>
      <c r="J132" s="1">
        <f t="shared" si="33"/>
        <v>0</v>
      </c>
      <c r="K132" s="12">
        <f t="shared" si="34"/>
        <v>0</v>
      </c>
    </row>
    <row r="133" spans="2:11" ht="12.75">
      <c r="B133" t="s">
        <v>33</v>
      </c>
      <c r="C133" s="2"/>
      <c r="D133" s="12">
        <f>D132</f>
        <v>35</v>
      </c>
      <c r="E133" s="12">
        <f t="shared" si="22"/>
        <v>21</v>
      </c>
      <c r="F133" s="12">
        <f>IF('Pass&amp;CardChoice'!$B$33,D133-E133,IF('Pass&amp;CardChoice'!$B$34,D133,0))</f>
        <v>0</v>
      </c>
      <c r="G133" s="19"/>
      <c r="H133" s="1">
        <f>CHOOSE('Rental type'!A11,33,38,0)</f>
        <v>0</v>
      </c>
      <c r="I133" s="1">
        <f t="shared" si="30"/>
        <v>0</v>
      </c>
      <c r="J133" s="1">
        <f t="shared" si="33"/>
        <v>0</v>
      </c>
      <c r="K133" s="12">
        <f t="shared" si="34"/>
        <v>0</v>
      </c>
    </row>
    <row r="134" spans="2:11" ht="12.75">
      <c r="B134" t="s">
        <v>55</v>
      </c>
      <c r="C134" s="2"/>
      <c r="D134" s="12">
        <f>D127/2</f>
        <v>20</v>
      </c>
      <c r="E134" s="12">
        <f>D134</f>
        <v>20</v>
      </c>
      <c r="F134" s="12">
        <f>IF('Pass&amp;CardChoice'!$B$33,D134-E134,IF('Pass&amp;CardChoice'!$B$34,D134,0))</f>
        <v>0</v>
      </c>
      <c r="G134" s="19"/>
      <c r="H134" s="1">
        <f>CHOOSE('Rental type'!A12,33,38,0)</f>
        <v>0</v>
      </c>
      <c r="I134" s="1">
        <f t="shared" si="30"/>
        <v>0</v>
      </c>
      <c r="J134" s="1">
        <f>H134-I134</f>
        <v>0</v>
      </c>
      <c r="K134" s="12">
        <f>(C134*F134)+(G134*D134)+(C134*J134)+(G134*H134)</f>
        <v>0</v>
      </c>
    </row>
    <row r="135" spans="1:11" ht="12.75">
      <c r="A135" t="s">
        <v>8</v>
      </c>
      <c r="D135" s="12"/>
      <c r="E135" s="12"/>
      <c r="F135" s="12"/>
      <c r="K135" s="12"/>
    </row>
    <row r="136" spans="2:11" ht="12.75">
      <c r="B136" t="s">
        <v>29</v>
      </c>
      <c r="C136" s="2"/>
      <c r="D136" s="12">
        <v>35</v>
      </c>
      <c r="E136" s="12">
        <f t="shared" si="22"/>
        <v>21</v>
      </c>
      <c r="F136" s="12">
        <f>IF('Pass&amp;CardChoice'!$B$33,D136-E136,IF('Pass&amp;CardChoice'!$B$34,D136,0))</f>
        <v>0</v>
      </c>
      <c r="G136" s="19"/>
      <c r="H136" s="1">
        <f>CHOOSE('Rental type'!A5,29,33,0)</f>
        <v>0</v>
      </c>
      <c r="I136" s="1">
        <f t="shared" si="30"/>
        <v>0</v>
      </c>
      <c r="J136" s="1">
        <f aca="true" t="shared" si="35" ref="J136:J142">H136-I136</f>
        <v>0</v>
      </c>
      <c r="K136" s="12">
        <f aca="true" t="shared" si="36" ref="K136:K142">(C136*F136)+(G136*D136)+(C136*J136)+(G136*H136)</f>
        <v>0</v>
      </c>
    </row>
    <row r="137" spans="2:11" ht="12.75">
      <c r="B137" t="s">
        <v>30</v>
      </c>
      <c r="C137" s="2"/>
      <c r="D137" s="12">
        <f>D136</f>
        <v>35</v>
      </c>
      <c r="E137" s="12">
        <f t="shared" si="22"/>
        <v>21</v>
      </c>
      <c r="F137" s="12">
        <f>IF('Pass&amp;CardChoice'!$B$33,D137-E137,IF('Pass&amp;CardChoice'!$B$34,D137,0))</f>
        <v>0</v>
      </c>
      <c r="G137" s="19"/>
      <c r="H137" s="1">
        <f>CHOOSE('Rental type'!A6,29,33,0)</f>
        <v>0</v>
      </c>
      <c r="I137" s="1">
        <f t="shared" si="30"/>
        <v>0</v>
      </c>
      <c r="J137" s="1">
        <f t="shared" si="35"/>
        <v>0</v>
      </c>
      <c r="K137" s="12">
        <f t="shared" si="36"/>
        <v>0</v>
      </c>
    </row>
    <row r="138" spans="2:11" ht="12.75">
      <c r="B138" t="s">
        <v>45</v>
      </c>
      <c r="C138" s="2"/>
      <c r="D138" s="12">
        <f>D137</f>
        <v>35</v>
      </c>
      <c r="E138" s="12">
        <f t="shared" si="22"/>
        <v>21</v>
      </c>
      <c r="F138" s="12">
        <f>IF('Pass&amp;CardChoice'!$B$33,D138-E138,IF('Pass&amp;CardChoice'!$B$34,D138,0))</f>
        <v>0</v>
      </c>
      <c r="G138" s="19"/>
      <c r="H138" s="1">
        <f>CHOOSE('Rental type'!A7,29,33,0)</f>
        <v>0</v>
      </c>
      <c r="I138" s="1">
        <f t="shared" si="30"/>
        <v>0</v>
      </c>
      <c r="J138" s="1">
        <f>H138-I138</f>
        <v>0</v>
      </c>
      <c r="K138" s="12">
        <f t="shared" si="36"/>
        <v>0</v>
      </c>
    </row>
    <row r="139" spans="2:11" ht="12.75">
      <c r="B139" t="s">
        <v>46</v>
      </c>
      <c r="C139" s="2"/>
      <c r="D139" s="12">
        <f>D138</f>
        <v>35</v>
      </c>
      <c r="E139" s="12">
        <f t="shared" si="22"/>
        <v>21</v>
      </c>
      <c r="F139" s="12">
        <f>IF('Pass&amp;CardChoice'!$B$33,D139-E139,IF('Pass&amp;CardChoice'!$B$34,D139,0))</f>
        <v>0</v>
      </c>
      <c r="G139" s="19"/>
      <c r="H139" s="1">
        <f>CHOOSE('Rental type'!A8,29,33,0)</f>
        <v>0</v>
      </c>
      <c r="I139" s="1">
        <f t="shared" si="30"/>
        <v>0</v>
      </c>
      <c r="J139" s="1">
        <f>H139-I139</f>
        <v>0</v>
      </c>
      <c r="K139" s="12">
        <f t="shared" si="36"/>
        <v>0</v>
      </c>
    </row>
    <row r="140" spans="2:11" ht="12.75">
      <c r="B140" t="s">
        <v>31</v>
      </c>
      <c r="C140" s="2"/>
      <c r="D140" s="12">
        <v>30</v>
      </c>
      <c r="E140" s="12">
        <f t="shared" si="22"/>
        <v>18</v>
      </c>
      <c r="F140" s="12">
        <f>IF('Pass&amp;CardChoice'!$B$33,D140-E140,IF('Pass&amp;CardChoice'!$B$34,D140,0))</f>
        <v>0</v>
      </c>
      <c r="G140" s="19"/>
      <c r="H140" s="1">
        <f>CHOOSE('Rental type'!A9,29,33,0)</f>
        <v>0</v>
      </c>
      <c r="I140" s="1">
        <f t="shared" si="30"/>
        <v>0</v>
      </c>
      <c r="J140" s="1">
        <f t="shared" si="35"/>
        <v>0</v>
      </c>
      <c r="K140" s="12">
        <f t="shared" si="36"/>
        <v>0</v>
      </c>
    </row>
    <row r="141" spans="2:11" ht="12.75">
      <c r="B141" t="s">
        <v>32</v>
      </c>
      <c r="C141" s="2"/>
      <c r="D141" s="12">
        <f>D140</f>
        <v>30</v>
      </c>
      <c r="E141" s="12">
        <f t="shared" si="22"/>
        <v>18</v>
      </c>
      <c r="F141" s="12">
        <f>IF('Pass&amp;CardChoice'!$B$33,D141-E141,IF('Pass&amp;CardChoice'!$B$34,D141,0))</f>
        <v>0</v>
      </c>
      <c r="G141" s="19"/>
      <c r="H141" s="1">
        <f>CHOOSE('Rental type'!A10,29,33,0)</f>
        <v>0</v>
      </c>
      <c r="I141" s="1">
        <f t="shared" si="30"/>
        <v>0</v>
      </c>
      <c r="J141" s="1">
        <f t="shared" si="35"/>
        <v>0</v>
      </c>
      <c r="K141" s="12">
        <f t="shared" si="36"/>
        <v>0</v>
      </c>
    </row>
    <row r="142" spans="2:11" ht="12.75">
      <c r="B142" t="s">
        <v>33</v>
      </c>
      <c r="C142" s="2"/>
      <c r="D142" s="12">
        <f>D141</f>
        <v>30</v>
      </c>
      <c r="E142" s="12">
        <f t="shared" si="22"/>
        <v>18</v>
      </c>
      <c r="F142" s="12">
        <f>IF('Pass&amp;CardChoice'!$B$33,D142-E142,IF('Pass&amp;CardChoice'!$B$34,D142,0))</f>
        <v>0</v>
      </c>
      <c r="G142" s="19"/>
      <c r="H142" s="1">
        <f>CHOOSE('Rental type'!A11,29,33,0)</f>
        <v>0</v>
      </c>
      <c r="I142" s="1">
        <f t="shared" si="30"/>
        <v>0</v>
      </c>
      <c r="J142" s="1">
        <f t="shared" si="35"/>
        <v>0</v>
      </c>
      <c r="K142" s="12">
        <f t="shared" si="36"/>
        <v>0</v>
      </c>
    </row>
    <row r="143" spans="2:11" ht="12.75">
      <c r="B143" t="s">
        <v>55</v>
      </c>
      <c r="C143" s="2"/>
      <c r="D143" s="12">
        <f>D136/2</f>
        <v>17.5</v>
      </c>
      <c r="E143" s="12">
        <f>D143</f>
        <v>17.5</v>
      </c>
      <c r="F143" s="12">
        <f>IF('Pass&amp;CardChoice'!$B$33,D143-E143,IF('Pass&amp;CardChoice'!$B$34,D143,0))</f>
        <v>0</v>
      </c>
      <c r="G143" s="19"/>
      <c r="H143" s="1">
        <f>CHOOSE('Rental type'!A12,29,33,0)</f>
        <v>0</v>
      </c>
      <c r="I143" s="1">
        <f t="shared" si="30"/>
        <v>0</v>
      </c>
      <c r="J143" s="1">
        <f>H143-I143</f>
        <v>0</v>
      </c>
      <c r="K143" s="12">
        <f>(C143*F143)+(G143*D143)+(C143*J143)+(G143*H143)</f>
        <v>0</v>
      </c>
    </row>
    <row r="144" spans="1:11" ht="12.75">
      <c r="A144" t="s">
        <v>17</v>
      </c>
      <c r="C144" s="28"/>
      <c r="D144" s="12"/>
      <c r="E144" s="12"/>
      <c r="F144" s="12"/>
      <c r="K144" s="16"/>
    </row>
    <row r="145" spans="2:11" ht="12.75">
      <c r="B145" t="s">
        <v>1</v>
      </c>
      <c r="C145" s="2"/>
      <c r="D145" s="12">
        <v>28</v>
      </c>
      <c r="E145" s="12">
        <f t="shared" si="22"/>
        <v>16.8</v>
      </c>
      <c r="F145" s="12">
        <f>IF('Pass&amp;CardChoice'!$B$33,D145-E145,IF('Pass&amp;CardChoice'!$B$34,0.5*D145,0))</f>
        <v>0</v>
      </c>
      <c r="K145" s="16">
        <f>(C145*F145)</f>
        <v>0</v>
      </c>
    </row>
    <row r="146" spans="4:11" ht="12.75">
      <c r="D146" s="12"/>
      <c r="E146" s="12"/>
      <c r="F146" s="12"/>
      <c r="K146" s="17">
        <f>SUM(K82:K145)</f>
        <v>0</v>
      </c>
    </row>
    <row r="147" spans="4:11" ht="24.75" customHeight="1">
      <c r="D147" s="12"/>
      <c r="E147" s="12"/>
      <c r="F147" s="12"/>
      <c r="K147" s="1" t="s">
        <v>25</v>
      </c>
    </row>
    <row r="148" spans="1:11" s="7" customFormat="1" ht="12.75">
      <c r="A148" s="9" t="s">
        <v>14</v>
      </c>
      <c r="D148" s="15"/>
      <c r="E148" s="15"/>
      <c r="F148" s="15"/>
      <c r="G148" s="8"/>
      <c r="H148" s="8"/>
      <c r="I148" s="8"/>
      <c r="J148" s="8"/>
      <c r="K148" s="15"/>
    </row>
    <row r="149" spans="3:11" ht="38.25">
      <c r="C149" s="1" t="s">
        <v>2</v>
      </c>
      <c r="D149" s="1" t="s">
        <v>28</v>
      </c>
      <c r="E149" s="14" t="s">
        <v>6</v>
      </c>
      <c r="F149" s="12" t="s">
        <v>0</v>
      </c>
      <c r="G149" s="1" t="s">
        <v>9</v>
      </c>
      <c r="H149" s="1" t="s">
        <v>50</v>
      </c>
      <c r="I149" s="1" t="s">
        <v>27</v>
      </c>
      <c r="J149" s="1" t="s">
        <v>51</v>
      </c>
      <c r="K149" s="1" t="s">
        <v>34</v>
      </c>
    </row>
    <row r="150" spans="1:11" ht="12.75">
      <c r="A150" t="s">
        <v>12</v>
      </c>
      <c r="D150" s="12"/>
      <c r="E150" s="12"/>
      <c r="F150" s="12"/>
      <c r="K150" s="12"/>
    </row>
    <row r="151" spans="2:11" ht="12.75">
      <c r="B151" t="s">
        <v>29</v>
      </c>
      <c r="C151" s="2"/>
      <c r="D151" s="12">
        <v>54</v>
      </c>
      <c r="E151" s="12">
        <f>0.6*D151</f>
        <v>32.4</v>
      </c>
      <c r="F151" s="12">
        <f>IF('Pass&amp;CardChoice'!$B$33,D151-E151,IF('Pass&amp;CardChoice'!$B$34,D151,0))</f>
        <v>0</v>
      </c>
      <c r="G151" s="19"/>
      <c r="H151" s="1">
        <f>CHOOSE('Rental type'!A5,37,43,0)</f>
        <v>0</v>
      </c>
      <c r="I151" s="1">
        <f aca="true" t="shared" si="37" ref="I151:I212">0.6*H151</f>
        <v>0</v>
      </c>
      <c r="J151" s="1">
        <f aca="true" t="shared" si="38" ref="J151:J157">H151-I151</f>
        <v>0</v>
      </c>
      <c r="K151" s="12">
        <f aca="true" t="shared" si="39" ref="K151:K157">(C151*F151)+(G151*D151)+(C151*J151)+(G151*H151)</f>
        <v>0</v>
      </c>
    </row>
    <row r="152" spans="2:11" ht="12.75">
      <c r="B152" t="s">
        <v>30</v>
      </c>
      <c r="C152" s="2"/>
      <c r="D152" s="12">
        <f>D151</f>
        <v>54</v>
      </c>
      <c r="E152" s="12">
        <f>0.6*D152</f>
        <v>32.4</v>
      </c>
      <c r="F152" s="12">
        <f>IF('Pass&amp;CardChoice'!$B$33,D152-E152,IF('Pass&amp;CardChoice'!$B$34,D152,0))</f>
        <v>0</v>
      </c>
      <c r="G152" s="19"/>
      <c r="H152" s="1">
        <f>CHOOSE('Rental type'!A6,37,43,0)</f>
        <v>0</v>
      </c>
      <c r="I152" s="1">
        <f t="shared" si="37"/>
        <v>0</v>
      </c>
      <c r="J152" s="1">
        <f t="shared" si="38"/>
        <v>0</v>
      </c>
      <c r="K152" s="12">
        <f t="shared" si="39"/>
        <v>0</v>
      </c>
    </row>
    <row r="153" spans="2:11" ht="12.75">
      <c r="B153" t="s">
        <v>45</v>
      </c>
      <c r="C153" s="2"/>
      <c r="D153" s="12">
        <f>D152</f>
        <v>54</v>
      </c>
      <c r="E153" s="12">
        <f>0.6*D153</f>
        <v>32.4</v>
      </c>
      <c r="F153" s="12">
        <f>IF('Pass&amp;CardChoice'!$B$33,D153-E153,IF('Pass&amp;CardChoice'!$B$34,D153,0))</f>
        <v>0</v>
      </c>
      <c r="G153" s="19"/>
      <c r="H153" s="1">
        <f>CHOOSE('Rental type'!A7,37,43,0)</f>
        <v>0</v>
      </c>
      <c r="I153" s="1">
        <f t="shared" si="37"/>
        <v>0</v>
      </c>
      <c r="J153" s="1">
        <f>H153-I153</f>
        <v>0</v>
      </c>
      <c r="K153" s="12">
        <f t="shared" si="39"/>
        <v>0</v>
      </c>
    </row>
    <row r="154" spans="2:11" ht="12.75">
      <c r="B154" t="s">
        <v>46</v>
      </c>
      <c r="C154" s="2"/>
      <c r="D154" s="12">
        <f>D153</f>
        <v>54</v>
      </c>
      <c r="E154" s="12">
        <f>0.6*D154</f>
        <v>32.4</v>
      </c>
      <c r="F154" s="12">
        <f>IF('Pass&amp;CardChoice'!$B$33,D154-E154,IF('Pass&amp;CardChoice'!$B$34,D154,0))</f>
        <v>0</v>
      </c>
      <c r="G154" s="19"/>
      <c r="H154" s="1">
        <f>CHOOSE('Rental type'!A8,37,43,0)</f>
        <v>0</v>
      </c>
      <c r="I154" s="1">
        <f t="shared" si="37"/>
        <v>0</v>
      </c>
      <c r="J154" s="1">
        <f>H154-I154</f>
        <v>0</v>
      </c>
      <c r="K154" s="12">
        <f t="shared" si="39"/>
        <v>0</v>
      </c>
    </row>
    <row r="155" spans="2:11" ht="12.75">
      <c r="B155" t="s">
        <v>31</v>
      </c>
      <c r="C155" s="2"/>
      <c r="D155" s="12">
        <v>47</v>
      </c>
      <c r="E155" s="12">
        <f aca="true" t="shared" si="40" ref="E155:E211">0.6*D155</f>
        <v>28.2</v>
      </c>
      <c r="F155" s="12">
        <f>IF('Pass&amp;CardChoice'!$B$33,D155-E155,IF('Pass&amp;CardChoice'!$B$34,D155,0))</f>
        <v>0</v>
      </c>
      <c r="G155" s="19"/>
      <c r="H155" s="1">
        <f>CHOOSE('Rental type'!A9,37,43,0)</f>
        <v>0</v>
      </c>
      <c r="I155" s="1">
        <f t="shared" si="37"/>
        <v>0</v>
      </c>
      <c r="J155" s="1">
        <f t="shared" si="38"/>
        <v>0</v>
      </c>
      <c r="K155" s="12">
        <f t="shared" si="39"/>
        <v>0</v>
      </c>
    </row>
    <row r="156" spans="2:11" ht="12.75">
      <c r="B156" t="s">
        <v>32</v>
      </c>
      <c r="C156" s="2"/>
      <c r="D156" s="12">
        <f>D155</f>
        <v>47</v>
      </c>
      <c r="E156" s="12">
        <f t="shared" si="40"/>
        <v>28.2</v>
      </c>
      <c r="F156" s="12">
        <f>IF('Pass&amp;CardChoice'!$B$33,D156-E156,IF('Pass&amp;CardChoice'!$B$34,D156,0))</f>
        <v>0</v>
      </c>
      <c r="G156" s="19"/>
      <c r="H156" s="1">
        <f>CHOOSE('Rental type'!A10,37,43,0)</f>
        <v>0</v>
      </c>
      <c r="I156" s="1">
        <f t="shared" si="37"/>
        <v>0</v>
      </c>
      <c r="J156" s="1">
        <f t="shared" si="38"/>
        <v>0</v>
      </c>
      <c r="K156" s="12">
        <f t="shared" si="39"/>
        <v>0</v>
      </c>
    </row>
    <row r="157" spans="2:11" ht="12.75">
      <c r="B157" t="s">
        <v>33</v>
      </c>
      <c r="C157" s="2"/>
      <c r="D157" s="12">
        <f>D156</f>
        <v>47</v>
      </c>
      <c r="E157" s="12">
        <f t="shared" si="40"/>
        <v>28.2</v>
      </c>
      <c r="F157" s="12">
        <f>IF('Pass&amp;CardChoice'!$B$33,D157-E157,IF('Pass&amp;CardChoice'!$B$34,D157,0))</f>
        <v>0</v>
      </c>
      <c r="G157" s="19"/>
      <c r="H157" s="1">
        <f>CHOOSE('Rental type'!A11,37,43,0)</f>
        <v>0</v>
      </c>
      <c r="I157" s="1">
        <f t="shared" si="37"/>
        <v>0</v>
      </c>
      <c r="J157" s="1">
        <f t="shared" si="38"/>
        <v>0</v>
      </c>
      <c r="K157" s="12">
        <f t="shared" si="39"/>
        <v>0</v>
      </c>
    </row>
    <row r="158" spans="2:11" ht="12.75">
      <c r="B158" t="s">
        <v>55</v>
      </c>
      <c r="C158" s="2"/>
      <c r="D158" s="12">
        <f>D151</f>
        <v>54</v>
      </c>
      <c r="E158" s="12">
        <f t="shared" si="40"/>
        <v>32.4</v>
      </c>
      <c r="F158" s="12">
        <f>IF('Pass&amp;CardChoice'!$B$33,D158-E158,IF('Pass&amp;CardChoice'!$B$34,D158,0))</f>
        <v>0</v>
      </c>
      <c r="G158" s="19"/>
      <c r="H158" s="1">
        <f>CHOOSE('Rental type'!A12,37,43,0)</f>
        <v>0</v>
      </c>
      <c r="I158" s="1">
        <f t="shared" si="37"/>
        <v>0</v>
      </c>
      <c r="J158" s="1">
        <f>H158-I158</f>
        <v>0</v>
      </c>
      <c r="K158" s="12">
        <f>(C158*F158)+(G158*D158)+(C158*J158)+(G158*H158)</f>
        <v>0</v>
      </c>
    </row>
    <row r="159" spans="1:11" ht="12.75">
      <c r="A159" t="s">
        <v>3</v>
      </c>
      <c r="D159" s="12"/>
      <c r="E159" s="12"/>
      <c r="F159" s="12"/>
      <c r="K159" s="12"/>
    </row>
    <row r="160" spans="2:11" ht="12.75">
      <c r="B160" t="s">
        <v>29</v>
      </c>
      <c r="C160" s="2"/>
      <c r="D160" s="12">
        <v>47</v>
      </c>
      <c r="E160" s="12">
        <f t="shared" si="40"/>
        <v>28.2</v>
      </c>
      <c r="F160" s="12">
        <f>IF('Pass&amp;CardChoice'!$B$33,D160-E160,IF('Pass&amp;CardChoice'!$B$34,D160,0))</f>
        <v>0</v>
      </c>
      <c r="G160" s="19"/>
      <c r="H160" s="1">
        <f>CHOOSE('Rental type'!A5,32,37,0)</f>
        <v>0</v>
      </c>
      <c r="I160" s="1">
        <f t="shared" si="37"/>
        <v>0</v>
      </c>
      <c r="J160" s="1">
        <f aca="true" t="shared" si="41" ref="J160:J166">H160-I160</f>
        <v>0</v>
      </c>
      <c r="K160" s="12">
        <f aca="true" t="shared" si="42" ref="K160:K166">(C160*F160)+(G160*D160)+(C160*J160)+(G160*H160)</f>
        <v>0</v>
      </c>
    </row>
    <row r="161" spans="2:11" ht="12.75">
      <c r="B161" t="s">
        <v>30</v>
      </c>
      <c r="C161" s="2"/>
      <c r="D161" s="12">
        <f>D160</f>
        <v>47</v>
      </c>
      <c r="E161" s="12">
        <f t="shared" si="40"/>
        <v>28.2</v>
      </c>
      <c r="F161" s="12">
        <f>IF('Pass&amp;CardChoice'!$B$33,D161-E161,IF('Pass&amp;CardChoice'!$B$34,D161,0))</f>
        <v>0</v>
      </c>
      <c r="G161" s="19"/>
      <c r="H161" s="1">
        <f>CHOOSE('Rental type'!A6,32,37,0)</f>
        <v>0</v>
      </c>
      <c r="I161" s="1">
        <f t="shared" si="37"/>
        <v>0</v>
      </c>
      <c r="J161" s="1">
        <f t="shared" si="41"/>
        <v>0</v>
      </c>
      <c r="K161" s="12">
        <f t="shared" si="42"/>
        <v>0</v>
      </c>
    </row>
    <row r="162" spans="2:11" ht="12.75">
      <c r="B162" t="s">
        <v>45</v>
      </c>
      <c r="C162" s="2"/>
      <c r="D162" s="12">
        <f>D161</f>
        <v>47</v>
      </c>
      <c r="E162" s="12">
        <f t="shared" si="40"/>
        <v>28.2</v>
      </c>
      <c r="F162" s="12">
        <f>IF('Pass&amp;CardChoice'!$B$33,D162-E162,IF('Pass&amp;CardChoice'!$B$34,D162,0))</f>
        <v>0</v>
      </c>
      <c r="G162" s="19"/>
      <c r="H162" s="1">
        <f>CHOOSE('Rental type'!A7,32,37,0)</f>
        <v>0</v>
      </c>
      <c r="I162" s="1">
        <f t="shared" si="37"/>
        <v>0</v>
      </c>
      <c r="J162" s="1">
        <f>H162-I162</f>
        <v>0</v>
      </c>
      <c r="K162" s="12">
        <f t="shared" si="42"/>
        <v>0</v>
      </c>
    </row>
    <row r="163" spans="2:11" ht="12.75">
      <c r="B163" t="s">
        <v>46</v>
      </c>
      <c r="C163" s="2"/>
      <c r="D163" s="12">
        <f>D162</f>
        <v>47</v>
      </c>
      <c r="E163" s="12">
        <f t="shared" si="40"/>
        <v>28.2</v>
      </c>
      <c r="F163" s="12">
        <f>IF('Pass&amp;CardChoice'!$B$33,D163-E163,IF('Pass&amp;CardChoice'!$B$34,D163,0))</f>
        <v>0</v>
      </c>
      <c r="G163" s="19"/>
      <c r="H163" s="1">
        <f>CHOOSE('Rental type'!A8,32,37,0)</f>
        <v>0</v>
      </c>
      <c r="I163" s="1">
        <f t="shared" si="37"/>
        <v>0</v>
      </c>
      <c r="J163" s="1">
        <f>H163-I163</f>
        <v>0</v>
      </c>
      <c r="K163" s="12">
        <f t="shared" si="42"/>
        <v>0</v>
      </c>
    </row>
    <row r="164" spans="2:11" ht="12.75">
      <c r="B164" t="s">
        <v>31</v>
      </c>
      <c r="C164" s="2"/>
      <c r="D164" s="12">
        <v>42</v>
      </c>
      <c r="E164" s="12">
        <f t="shared" si="40"/>
        <v>25.2</v>
      </c>
      <c r="F164" s="12">
        <f>IF('Pass&amp;CardChoice'!$B$33,D164-E164,IF('Pass&amp;CardChoice'!$B$34,D164,0))</f>
        <v>0</v>
      </c>
      <c r="G164" s="19"/>
      <c r="H164" s="1">
        <f>CHOOSE('Rental type'!A9,32,37,0)</f>
        <v>0</v>
      </c>
      <c r="I164" s="1">
        <f t="shared" si="37"/>
        <v>0</v>
      </c>
      <c r="J164" s="1">
        <f t="shared" si="41"/>
        <v>0</v>
      </c>
      <c r="K164" s="12">
        <f t="shared" si="42"/>
        <v>0</v>
      </c>
    </row>
    <row r="165" spans="2:11" ht="12.75">
      <c r="B165" t="s">
        <v>32</v>
      </c>
      <c r="C165" s="2"/>
      <c r="D165" s="12">
        <f>D164</f>
        <v>42</v>
      </c>
      <c r="E165" s="12">
        <f t="shared" si="40"/>
        <v>25.2</v>
      </c>
      <c r="F165" s="12">
        <f>IF('Pass&amp;CardChoice'!$B$33,D165-E165,IF('Pass&amp;CardChoice'!$B$34,D165,0))</f>
        <v>0</v>
      </c>
      <c r="G165" s="19"/>
      <c r="H165" s="1">
        <f>CHOOSE('Rental type'!A10,32,37,0)</f>
        <v>0</v>
      </c>
      <c r="I165" s="1">
        <f t="shared" si="37"/>
        <v>0</v>
      </c>
      <c r="J165" s="1">
        <f t="shared" si="41"/>
        <v>0</v>
      </c>
      <c r="K165" s="12">
        <f t="shared" si="42"/>
        <v>0</v>
      </c>
    </row>
    <row r="166" spans="2:11" ht="12.75">
      <c r="B166" t="s">
        <v>33</v>
      </c>
      <c r="C166" s="2"/>
      <c r="D166" s="12">
        <f>D165</f>
        <v>42</v>
      </c>
      <c r="E166" s="12">
        <f t="shared" si="40"/>
        <v>25.2</v>
      </c>
      <c r="F166" s="12">
        <f>IF('Pass&amp;CardChoice'!$B$33,D166-E166,IF('Pass&amp;CardChoice'!$B$34,D166,0))</f>
        <v>0</v>
      </c>
      <c r="G166" s="19"/>
      <c r="H166" s="1">
        <f>CHOOSE('Rental type'!A11,32,37,0)</f>
        <v>0</v>
      </c>
      <c r="I166" s="1">
        <f t="shared" si="37"/>
        <v>0</v>
      </c>
      <c r="J166" s="1">
        <f t="shared" si="41"/>
        <v>0</v>
      </c>
      <c r="K166" s="12">
        <f t="shared" si="42"/>
        <v>0</v>
      </c>
    </row>
    <row r="167" spans="2:11" ht="12.75">
      <c r="B167" t="s">
        <v>55</v>
      </c>
      <c r="C167" s="2"/>
      <c r="D167" s="12">
        <f>D160</f>
        <v>47</v>
      </c>
      <c r="E167" s="12">
        <f t="shared" si="40"/>
        <v>28.2</v>
      </c>
      <c r="F167" s="12">
        <f>IF('Pass&amp;CardChoice'!$B$33,D167-E167,IF('Pass&amp;CardChoice'!$B$34,D167,0))</f>
        <v>0</v>
      </c>
      <c r="G167" s="19"/>
      <c r="H167" s="1">
        <f>CHOOSE('Rental type'!A12,32,37,0)</f>
        <v>0</v>
      </c>
      <c r="I167" s="1">
        <f t="shared" si="37"/>
        <v>0</v>
      </c>
      <c r="J167" s="1">
        <f>H167-I167</f>
        <v>0</v>
      </c>
      <c r="K167" s="12">
        <f>(C167*F167)+(G167*D167)+(C167*J167)+(G167*H167)</f>
        <v>0</v>
      </c>
    </row>
    <row r="168" spans="1:11" ht="12.75">
      <c r="A168" t="s">
        <v>4</v>
      </c>
      <c r="D168" s="12"/>
      <c r="E168" s="12"/>
      <c r="F168" s="12"/>
      <c r="K168" s="12"/>
    </row>
    <row r="169" spans="2:11" ht="12.75">
      <c r="B169" t="s">
        <v>29</v>
      </c>
      <c r="C169" s="2"/>
      <c r="D169" s="12">
        <v>43</v>
      </c>
      <c r="E169" s="12">
        <f t="shared" si="40"/>
        <v>25.8</v>
      </c>
      <c r="F169" s="12">
        <f>IF('Pass&amp;CardChoice'!$B$33,D169-E169,IF('Pass&amp;CardChoice'!$B$34,D169,0))</f>
        <v>0</v>
      </c>
      <c r="G169" s="19"/>
      <c r="H169" s="1">
        <f>CHOOSE('Rental type'!A5,28,32,0)</f>
        <v>0</v>
      </c>
      <c r="I169" s="1">
        <f t="shared" si="37"/>
        <v>0</v>
      </c>
      <c r="J169" s="1">
        <f aca="true" t="shared" si="43" ref="J169:J175">H169-I169</f>
        <v>0</v>
      </c>
      <c r="K169" s="12">
        <f aca="true" t="shared" si="44" ref="K169:K175">(C169*F169)+(G169*D169)+(C169*J169)+(G169*H169)</f>
        <v>0</v>
      </c>
    </row>
    <row r="170" spans="2:11" ht="12.75">
      <c r="B170" t="s">
        <v>30</v>
      </c>
      <c r="C170" s="2"/>
      <c r="D170" s="12">
        <f>D169</f>
        <v>43</v>
      </c>
      <c r="E170" s="12">
        <f t="shared" si="40"/>
        <v>25.8</v>
      </c>
      <c r="F170" s="12">
        <f>IF('Pass&amp;CardChoice'!$B$33,D170-E170,IF('Pass&amp;CardChoice'!$B$34,D170,0))</f>
        <v>0</v>
      </c>
      <c r="G170" s="19"/>
      <c r="H170" s="1">
        <f>CHOOSE('Rental type'!A6,28,32,0)</f>
        <v>0</v>
      </c>
      <c r="I170" s="1">
        <f t="shared" si="37"/>
        <v>0</v>
      </c>
      <c r="J170" s="1">
        <f t="shared" si="43"/>
        <v>0</v>
      </c>
      <c r="K170" s="12">
        <f t="shared" si="44"/>
        <v>0</v>
      </c>
    </row>
    <row r="171" spans="2:11" ht="12.75">
      <c r="B171" t="s">
        <v>45</v>
      </c>
      <c r="C171" s="2"/>
      <c r="D171" s="12">
        <f>D170</f>
        <v>43</v>
      </c>
      <c r="E171" s="12">
        <f t="shared" si="40"/>
        <v>25.8</v>
      </c>
      <c r="F171" s="12">
        <f>IF('Pass&amp;CardChoice'!$B$33,D171-E171,IF('Pass&amp;CardChoice'!$B$34,D171,0))</f>
        <v>0</v>
      </c>
      <c r="G171" s="19"/>
      <c r="H171" s="1">
        <f>CHOOSE('Rental type'!A7,28,32,0)</f>
        <v>0</v>
      </c>
      <c r="I171" s="1">
        <f t="shared" si="37"/>
        <v>0</v>
      </c>
      <c r="J171" s="1">
        <f>H171-I171</f>
        <v>0</v>
      </c>
      <c r="K171" s="12">
        <f t="shared" si="44"/>
        <v>0</v>
      </c>
    </row>
    <row r="172" spans="2:11" ht="12.75">
      <c r="B172" t="s">
        <v>46</v>
      </c>
      <c r="C172" s="2"/>
      <c r="D172" s="12">
        <f>D171</f>
        <v>43</v>
      </c>
      <c r="E172" s="12">
        <f t="shared" si="40"/>
        <v>25.8</v>
      </c>
      <c r="F172" s="12">
        <f>IF('Pass&amp;CardChoice'!$B$33,D172-E172,IF('Pass&amp;CardChoice'!$B$34,D172,0))</f>
        <v>0</v>
      </c>
      <c r="G172" s="19"/>
      <c r="H172" s="1">
        <f>CHOOSE('Rental type'!A8,28,32,0)</f>
        <v>0</v>
      </c>
      <c r="I172" s="1">
        <f t="shared" si="37"/>
        <v>0</v>
      </c>
      <c r="J172" s="1">
        <f>H172-I172</f>
        <v>0</v>
      </c>
      <c r="K172" s="12">
        <f t="shared" si="44"/>
        <v>0</v>
      </c>
    </row>
    <row r="173" spans="2:11" ht="12.75">
      <c r="B173" t="s">
        <v>31</v>
      </c>
      <c r="C173" s="2"/>
      <c r="D173" s="12">
        <v>38</v>
      </c>
      <c r="E173" s="12">
        <f t="shared" si="40"/>
        <v>22.8</v>
      </c>
      <c r="F173" s="12">
        <f>IF('Pass&amp;CardChoice'!$B$33,D173-E173,IF('Pass&amp;CardChoice'!$B$34,D173,0))</f>
        <v>0</v>
      </c>
      <c r="G173" s="19"/>
      <c r="H173" s="1">
        <f>CHOOSE('Rental type'!A9,28,32,0)</f>
        <v>0</v>
      </c>
      <c r="I173" s="1">
        <f t="shared" si="37"/>
        <v>0</v>
      </c>
      <c r="J173" s="1">
        <f t="shared" si="43"/>
        <v>0</v>
      </c>
      <c r="K173" s="12">
        <f t="shared" si="44"/>
        <v>0</v>
      </c>
    </row>
    <row r="174" spans="2:11" ht="12.75">
      <c r="B174" t="s">
        <v>32</v>
      </c>
      <c r="C174" s="2"/>
      <c r="D174" s="12">
        <f>D173</f>
        <v>38</v>
      </c>
      <c r="E174" s="12">
        <f t="shared" si="40"/>
        <v>22.8</v>
      </c>
      <c r="F174" s="12">
        <f>IF('Pass&amp;CardChoice'!$B$33,D174-E174,IF('Pass&amp;CardChoice'!$B$34,D174,0))</f>
        <v>0</v>
      </c>
      <c r="G174" s="19"/>
      <c r="H174" s="1">
        <f>CHOOSE('Rental type'!A10,28,32,0)</f>
        <v>0</v>
      </c>
      <c r="I174" s="1">
        <f t="shared" si="37"/>
        <v>0</v>
      </c>
      <c r="J174" s="1">
        <f t="shared" si="43"/>
        <v>0</v>
      </c>
      <c r="K174" s="12">
        <f t="shared" si="44"/>
        <v>0</v>
      </c>
    </row>
    <row r="175" spans="2:11" ht="12.75">
      <c r="B175" t="s">
        <v>33</v>
      </c>
      <c r="C175" s="2"/>
      <c r="D175" s="12">
        <f>D174</f>
        <v>38</v>
      </c>
      <c r="E175" s="12">
        <f t="shared" si="40"/>
        <v>22.8</v>
      </c>
      <c r="F175" s="12">
        <f>IF('Pass&amp;CardChoice'!$B$33,D175-E175,IF('Pass&amp;CardChoice'!$B$34,D175,0))</f>
        <v>0</v>
      </c>
      <c r="G175" s="19"/>
      <c r="H175" s="1">
        <f>CHOOSE('Rental type'!A11,28,32,0)</f>
        <v>0</v>
      </c>
      <c r="I175" s="1">
        <f t="shared" si="37"/>
        <v>0</v>
      </c>
      <c r="J175" s="1">
        <f t="shared" si="43"/>
        <v>0</v>
      </c>
      <c r="K175" s="12">
        <f t="shared" si="44"/>
        <v>0</v>
      </c>
    </row>
    <row r="176" spans="2:11" ht="12.75">
      <c r="B176" t="s">
        <v>55</v>
      </c>
      <c r="C176" s="2"/>
      <c r="D176" s="12">
        <f>D169</f>
        <v>43</v>
      </c>
      <c r="E176" s="12">
        <f t="shared" si="40"/>
        <v>25.8</v>
      </c>
      <c r="F176" s="12">
        <f>IF('Pass&amp;CardChoice'!$B$33,D176-E176,IF('Pass&amp;CardChoice'!$B$34,D176,0))</f>
        <v>0</v>
      </c>
      <c r="G176" s="19"/>
      <c r="H176" s="1">
        <f>CHOOSE('Rental type'!A12,28,32,0)</f>
        <v>0</v>
      </c>
      <c r="I176" s="1">
        <f t="shared" si="37"/>
        <v>0</v>
      </c>
      <c r="J176" s="1">
        <f>H176-I176</f>
        <v>0</v>
      </c>
      <c r="K176" s="12">
        <f>(C176*F176)+(G176*D176)+(C176*J176)+(G176*H176)</f>
        <v>0</v>
      </c>
    </row>
    <row r="177" spans="1:11" ht="12.75">
      <c r="A177" t="s">
        <v>7</v>
      </c>
      <c r="D177" s="12"/>
      <c r="E177" s="12"/>
      <c r="F177" s="12"/>
      <c r="K177" s="12"/>
    </row>
    <row r="178" spans="2:11" ht="12.75">
      <c r="B178" t="s">
        <v>29</v>
      </c>
      <c r="C178" s="2"/>
      <c r="D178" s="12">
        <v>31</v>
      </c>
      <c r="E178" s="12">
        <f aca="true" t="shared" si="45" ref="E178:E184">0.6*D178</f>
        <v>18.599999999999998</v>
      </c>
      <c r="F178" s="12">
        <f>IF('Pass&amp;CardChoice'!$B$33,D178-E178,IF('Pass&amp;CardChoice'!$B$34,D178,0))</f>
        <v>0</v>
      </c>
      <c r="G178" s="19"/>
      <c r="H178" s="1">
        <f>CHOOSE('Rental type'!A5,29,33,0)</f>
        <v>0</v>
      </c>
      <c r="I178" s="1">
        <f t="shared" si="37"/>
        <v>0</v>
      </c>
      <c r="J178" s="1">
        <f aca="true" t="shared" si="46" ref="J178:J184">H178-I178</f>
        <v>0</v>
      </c>
      <c r="K178" s="12">
        <f aca="true" t="shared" si="47" ref="K178:K184">(C178*F178)+(G178*D178)+(C178*J178)+(G178*H178)</f>
        <v>0</v>
      </c>
    </row>
    <row r="179" spans="2:11" ht="12.75">
      <c r="B179" t="s">
        <v>30</v>
      </c>
      <c r="C179" s="2"/>
      <c r="D179" s="12">
        <f>D178</f>
        <v>31</v>
      </c>
      <c r="E179" s="12">
        <f t="shared" si="45"/>
        <v>18.599999999999998</v>
      </c>
      <c r="F179" s="12">
        <f>IF('Pass&amp;CardChoice'!$B$33,D179-E179,IF('Pass&amp;CardChoice'!$B$34,D179,0))</f>
        <v>0</v>
      </c>
      <c r="G179" s="19"/>
      <c r="H179" s="1">
        <f>CHOOSE('Rental type'!A6,29,33,0)</f>
        <v>0</v>
      </c>
      <c r="I179" s="1">
        <f t="shared" si="37"/>
        <v>0</v>
      </c>
      <c r="J179" s="1">
        <f t="shared" si="46"/>
        <v>0</v>
      </c>
      <c r="K179" s="12">
        <f t="shared" si="47"/>
        <v>0</v>
      </c>
    </row>
    <row r="180" spans="2:11" ht="12.75">
      <c r="B180" t="s">
        <v>45</v>
      </c>
      <c r="C180" s="2"/>
      <c r="D180" s="12">
        <f>D179</f>
        <v>31</v>
      </c>
      <c r="E180" s="12">
        <f t="shared" si="45"/>
        <v>18.599999999999998</v>
      </c>
      <c r="F180" s="12">
        <f>IF('Pass&amp;CardChoice'!$B$33,D180-E180,IF('Pass&amp;CardChoice'!$B$34,D180,0))</f>
        <v>0</v>
      </c>
      <c r="G180" s="19"/>
      <c r="H180" s="1">
        <f>CHOOSE('Rental type'!A7,29,33,0)</f>
        <v>0</v>
      </c>
      <c r="I180" s="1">
        <f t="shared" si="37"/>
        <v>0</v>
      </c>
      <c r="J180" s="1">
        <f>H180-I180</f>
        <v>0</v>
      </c>
      <c r="K180" s="12">
        <f t="shared" si="47"/>
        <v>0</v>
      </c>
    </row>
    <row r="181" spans="2:11" ht="12.75">
      <c r="B181" t="s">
        <v>46</v>
      </c>
      <c r="C181" s="2"/>
      <c r="D181" s="12">
        <f>D180</f>
        <v>31</v>
      </c>
      <c r="E181" s="12">
        <f t="shared" si="45"/>
        <v>18.599999999999998</v>
      </c>
      <c r="F181" s="12">
        <f>IF('Pass&amp;CardChoice'!$B$33,D181-E181,IF('Pass&amp;CardChoice'!$B$34,D181,0))</f>
        <v>0</v>
      </c>
      <c r="G181" s="19"/>
      <c r="H181" s="1">
        <f>CHOOSE('Rental type'!A8,29,33,0)</f>
        <v>0</v>
      </c>
      <c r="I181" s="1">
        <f t="shared" si="37"/>
        <v>0</v>
      </c>
      <c r="J181" s="1">
        <f>H181-I181</f>
        <v>0</v>
      </c>
      <c r="K181" s="12">
        <f t="shared" si="47"/>
        <v>0</v>
      </c>
    </row>
    <row r="182" spans="2:11" ht="12.75">
      <c r="B182" t="s">
        <v>31</v>
      </c>
      <c r="C182" s="2"/>
      <c r="D182" s="12">
        <v>26</v>
      </c>
      <c r="E182" s="12">
        <f t="shared" si="45"/>
        <v>15.6</v>
      </c>
      <c r="F182" s="12">
        <f>IF('Pass&amp;CardChoice'!$B$33,D182-E182,IF('Pass&amp;CardChoice'!$B$34,D182,0))</f>
        <v>0</v>
      </c>
      <c r="G182" s="19"/>
      <c r="H182" s="1">
        <f>CHOOSE('Rental type'!A9,29,33,0)</f>
        <v>0</v>
      </c>
      <c r="I182" s="1">
        <f t="shared" si="37"/>
        <v>0</v>
      </c>
      <c r="J182" s="1">
        <f t="shared" si="46"/>
        <v>0</v>
      </c>
      <c r="K182" s="12">
        <f t="shared" si="47"/>
        <v>0</v>
      </c>
    </row>
    <row r="183" spans="2:11" ht="12.75">
      <c r="B183" t="s">
        <v>32</v>
      </c>
      <c r="C183" s="2"/>
      <c r="D183" s="12">
        <f>D182</f>
        <v>26</v>
      </c>
      <c r="E183" s="12">
        <f t="shared" si="45"/>
        <v>15.6</v>
      </c>
      <c r="F183" s="12">
        <f>IF('Pass&amp;CardChoice'!$B$33,D183-E183,IF('Pass&amp;CardChoice'!$B$34,D183,0))</f>
        <v>0</v>
      </c>
      <c r="G183" s="19"/>
      <c r="H183" s="1">
        <f>CHOOSE('Rental type'!A10,29,33,0)</f>
        <v>0</v>
      </c>
      <c r="I183" s="1">
        <f t="shared" si="37"/>
        <v>0</v>
      </c>
      <c r="J183" s="1">
        <f t="shared" si="46"/>
        <v>0</v>
      </c>
      <c r="K183" s="12">
        <f t="shared" si="47"/>
        <v>0</v>
      </c>
    </row>
    <row r="184" spans="2:11" ht="12.75">
      <c r="B184" t="s">
        <v>33</v>
      </c>
      <c r="C184" s="2"/>
      <c r="D184" s="12">
        <f>D183</f>
        <v>26</v>
      </c>
      <c r="E184" s="12">
        <f t="shared" si="45"/>
        <v>15.6</v>
      </c>
      <c r="F184" s="12">
        <f>IF('Pass&amp;CardChoice'!$B$33,D184-E184,IF('Pass&amp;CardChoice'!$B$34,D184,0))</f>
        <v>0</v>
      </c>
      <c r="G184" s="19"/>
      <c r="H184" s="1">
        <f>CHOOSE('Rental type'!A11,29,33,0)</f>
        <v>0</v>
      </c>
      <c r="I184" s="1">
        <f t="shared" si="37"/>
        <v>0</v>
      </c>
      <c r="J184" s="1">
        <f t="shared" si="46"/>
        <v>0</v>
      </c>
      <c r="K184" s="12">
        <f t="shared" si="47"/>
        <v>0</v>
      </c>
    </row>
    <row r="185" spans="2:11" ht="12.75">
      <c r="B185" t="s">
        <v>55</v>
      </c>
      <c r="C185" s="2"/>
      <c r="D185" s="12">
        <f>D178/2</f>
        <v>15.5</v>
      </c>
      <c r="E185" s="12">
        <f>D185</f>
        <v>15.5</v>
      </c>
      <c r="F185" s="12">
        <f>IF('Pass&amp;CardChoice'!$B$33,D185-E185,IF('Pass&amp;CardChoice'!$B$34,D185,0))</f>
        <v>0</v>
      </c>
      <c r="G185" s="19"/>
      <c r="H185" s="1">
        <f>CHOOSE('Rental type'!A12,29,33,0)</f>
        <v>0</v>
      </c>
      <c r="I185" s="1">
        <f t="shared" si="37"/>
        <v>0</v>
      </c>
      <c r="J185" s="1">
        <f>H185-I185</f>
        <v>0</v>
      </c>
      <c r="K185" s="12">
        <f>(C185*F185)+(G185*D185)+(C185*J185)+(G185*H185)</f>
        <v>0</v>
      </c>
    </row>
    <row r="186" spans="1:11" ht="12.75">
      <c r="A186" t="s">
        <v>13</v>
      </c>
      <c r="D186" s="12"/>
      <c r="E186" s="12"/>
      <c r="F186" s="12"/>
      <c r="K186" s="12"/>
    </row>
    <row r="187" spans="2:11" ht="12.75">
      <c r="B187" t="s">
        <v>29</v>
      </c>
      <c r="C187" s="2"/>
      <c r="D187" s="12">
        <v>47</v>
      </c>
      <c r="E187" s="12">
        <f>0.6*D187</f>
        <v>28.2</v>
      </c>
      <c r="F187" s="12">
        <f>IF('Pass&amp;CardChoice'!$B$33,D187-E187,IF('Pass&amp;CardChoice'!$B$34,D187,0))</f>
        <v>0</v>
      </c>
      <c r="G187" s="19"/>
      <c r="H187" s="1">
        <f>CHOOSE('Rental type'!A5,37,43,0)</f>
        <v>0</v>
      </c>
      <c r="I187" s="1">
        <f t="shared" si="37"/>
        <v>0</v>
      </c>
      <c r="J187" s="1">
        <f aca="true" t="shared" si="48" ref="J187:J193">H187-I187</f>
        <v>0</v>
      </c>
      <c r="K187" s="12">
        <f aca="true" t="shared" si="49" ref="K187:K193">(C187*F187)+(G187*D187)+(C187*J187)+(G187*H187)</f>
        <v>0</v>
      </c>
    </row>
    <row r="188" spans="2:11" ht="12.75">
      <c r="B188" t="s">
        <v>30</v>
      </c>
      <c r="C188" s="2"/>
      <c r="D188" s="12">
        <f>D187</f>
        <v>47</v>
      </c>
      <c r="E188" s="12">
        <f>0.6*D188</f>
        <v>28.2</v>
      </c>
      <c r="F188" s="12">
        <f>IF('Pass&amp;CardChoice'!$B$33,D188-E188,IF('Pass&amp;CardChoice'!$B$34,D188,0))</f>
        <v>0</v>
      </c>
      <c r="G188" s="19"/>
      <c r="H188" s="1">
        <f>CHOOSE('Rental type'!A6,37,43,0)</f>
        <v>0</v>
      </c>
      <c r="I188" s="1">
        <f t="shared" si="37"/>
        <v>0</v>
      </c>
      <c r="J188" s="1">
        <f t="shared" si="48"/>
        <v>0</v>
      </c>
      <c r="K188" s="12">
        <f t="shared" si="49"/>
        <v>0</v>
      </c>
    </row>
    <row r="189" spans="2:11" ht="12.75">
      <c r="B189" t="s">
        <v>45</v>
      </c>
      <c r="C189" s="2"/>
      <c r="D189" s="12">
        <f>D188</f>
        <v>47</v>
      </c>
      <c r="E189" s="12">
        <f>0.6*D189</f>
        <v>28.2</v>
      </c>
      <c r="F189" s="12">
        <f>IF('Pass&amp;CardChoice'!$B$33,D189-E189,IF('Pass&amp;CardChoice'!$B$34,D189,0))</f>
        <v>0</v>
      </c>
      <c r="G189" s="19"/>
      <c r="H189" s="1">
        <f>CHOOSE('Rental type'!A7,37,43,0)</f>
        <v>0</v>
      </c>
      <c r="I189" s="1">
        <f t="shared" si="37"/>
        <v>0</v>
      </c>
      <c r="J189" s="1">
        <f>H189-I189</f>
        <v>0</v>
      </c>
      <c r="K189" s="12">
        <f t="shared" si="49"/>
        <v>0</v>
      </c>
    </row>
    <row r="190" spans="2:11" ht="12.75">
      <c r="B190" t="s">
        <v>46</v>
      </c>
      <c r="C190" s="2"/>
      <c r="D190" s="12">
        <f>D189</f>
        <v>47</v>
      </c>
      <c r="E190" s="12">
        <f>0.6*D190</f>
        <v>28.2</v>
      </c>
      <c r="F190" s="12">
        <f>IF('Pass&amp;CardChoice'!$B$33,D190-E190,IF('Pass&amp;CardChoice'!$B$34,D190,0))</f>
        <v>0</v>
      </c>
      <c r="G190" s="19"/>
      <c r="H190" s="1">
        <f>CHOOSE('Rental type'!A8,37,43,0)</f>
        <v>0</v>
      </c>
      <c r="I190" s="1">
        <f t="shared" si="37"/>
        <v>0</v>
      </c>
      <c r="J190" s="1">
        <f>H190-I190</f>
        <v>0</v>
      </c>
      <c r="K190" s="12">
        <f t="shared" si="49"/>
        <v>0</v>
      </c>
    </row>
    <row r="191" spans="2:11" ht="12.75">
      <c r="B191" t="s">
        <v>31</v>
      </c>
      <c r="C191" s="2"/>
      <c r="D191" s="12">
        <v>41</v>
      </c>
      <c r="E191" s="12">
        <f t="shared" si="40"/>
        <v>24.599999999999998</v>
      </c>
      <c r="F191" s="12">
        <f>IF('Pass&amp;CardChoice'!$B$33,D191-E191,IF('Pass&amp;CardChoice'!$B$34,D191,0))</f>
        <v>0</v>
      </c>
      <c r="G191" s="19"/>
      <c r="H191" s="1">
        <f>CHOOSE('Rental type'!A9,37,43,0)</f>
        <v>0</v>
      </c>
      <c r="I191" s="1">
        <f t="shared" si="37"/>
        <v>0</v>
      </c>
      <c r="J191" s="1">
        <f t="shared" si="48"/>
        <v>0</v>
      </c>
      <c r="K191" s="12">
        <f t="shared" si="49"/>
        <v>0</v>
      </c>
    </row>
    <row r="192" spans="2:11" ht="12.75">
      <c r="B192" t="s">
        <v>32</v>
      </c>
      <c r="C192" s="2"/>
      <c r="D192" s="12">
        <f>D191</f>
        <v>41</v>
      </c>
      <c r="E192" s="12">
        <f t="shared" si="40"/>
        <v>24.599999999999998</v>
      </c>
      <c r="F192" s="12">
        <f>IF('Pass&amp;CardChoice'!$B$33,D192-E192,IF('Pass&amp;CardChoice'!$B$34,D192,0))</f>
        <v>0</v>
      </c>
      <c r="G192" s="19"/>
      <c r="H192" s="1">
        <f>CHOOSE('Rental type'!A10,37,43,0)</f>
        <v>0</v>
      </c>
      <c r="I192" s="1">
        <f t="shared" si="37"/>
        <v>0</v>
      </c>
      <c r="J192" s="1">
        <f t="shared" si="48"/>
        <v>0</v>
      </c>
      <c r="K192" s="12">
        <f t="shared" si="49"/>
        <v>0</v>
      </c>
    </row>
    <row r="193" spans="2:11" ht="12.75">
      <c r="B193" t="s">
        <v>33</v>
      </c>
      <c r="C193" s="2"/>
      <c r="D193" s="12">
        <f>D192</f>
        <v>41</v>
      </c>
      <c r="E193" s="12">
        <f t="shared" si="40"/>
        <v>24.599999999999998</v>
      </c>
      <c r="F193" s="12">
        <f>IF('Pass&amp;CardChoice'!$B$33,D193-E193,IF('Pass&amp;CardChoice'!$B$34,D193,0))</f>
        <v>0</v>
      </c>
      <c r="G193" s="19"/>
      <c r="H193" s="1">
        <f>CHOOSE('Rental type'!A11,37,43,0)</f>
        <v>0</v>
      </c>
      <c r="I193" s="1">
        <f t="shared" si="37"/>
        <v>0</v>
      </c>
      <c r="J193" s="1">
        <f t="shared" si="48"/>
        <v>0</v>
      </c>
      <c r="K193" s="12">
        <f t="shared" si="49"/>
        <v>0</v>
      </c>
    </row>
    <row r="194" spans="2:11" ht="12.75">
      <c r="B194" t="s">
        <v>55</v>
      </c>
      <c r="C194" s="2"/>
      <c r="D194" s="12">
        <f>D187/2</f>
        <v>23.5</v>
      </c>
      <c r="E194" s="12">
        <f>D194</f>
        <v>23.5</v>
      </c>
      <c r="F194" s="12">
        <f>IF('Pass&amp;CardChoice'!$B$33,D194-E194,IF('Pass&amp;CardChoice'!$B$34,D194,0))</f>
        <v>0</v>
      </c>
      <c r="G194" s="19"/>
      <c r="H194" s="1">
        <f>CHOOSE('Rental type'!A12,37,43,0)</f>
        <v>0</v>
      </c>
      <c r="I194" s="1">
        <f t="shared" si="37"/>
        <v>0</v>
      </c>
      <c r="J194" s="1">
        <f>H194-I194</f>
        <v>0</v>
      </c>
      <c r="K194" s="12">
        <f>(C194*F194)+(G194*D194)+(C194*J194)+(G194*H194)</f>
        <v>0</v>
      </c>
    </row>
    <row r="195" spans="1:11" ht="12.75">
      <c r="A195" t="s">
        <v>5</v>
      </c>
      <c r="D195" s="12"/>
      <c r="E195" s="12"/>
      <c r="F195" s="12"/>
      <c r="K195" s="12"/>
    </row>
    <row r="196" spans="2:11" ht="12.75">
      <c r="B196" t="s">
        <v>29</v>
      </c>
      <c r="C196" s="2"/>
      <c r="D196" s="12">
        <v>40</v>
      </c>
      <c r="E196" s="12">
        <f t="shared" si="40"/>
        <v>24</v>
      </c>
      <c r="F196" s="12">
        <f>IF('Pass&amp;CardChoice'!$B$33,D196-E196,IF('Pass&amp;CardChoice'!$B$34,D196,0))</f>
        <v>0</v>
      </c>
      <c r="G196" s="19"/>
      <c r="H196" s="1">
        <f>CHOOSE('Rental type'!A5,32,37,0)</f>
        <v>0</v>
      </c>
      <c r="I196" s="1">
        <f t="shared" si="37"/>
        <v>0</v>
      </c>
      <c r="J196" s="1">
        <f aca="true" t="shared" si="50" ref="J196:J202">H196-I196</f>
        <v>0</v>
      </c>
      <c r="K196" s="12">
        <f aca="true" t="shared" si="51" ref="K196:K202">(C196*F196)+(G196*D196)+(C196*J196)+(G196*H196)</f>
        <v>0</v>
      </c>
    </row>
    <row r="197" spans="2:11" ht="12.75">
      <c r="B197" t="s">
        <v>30</v>
      </c>
      <c r="C197" s="2"/>
      <c r="D197" s="12">
        <f>D196</f>
        <v>40</v>
      </c>
      <c r="E197" s="12">
        <f t="shared" si="40"/>
        <v>24</v>
      </c>
      <c r="F197" s="12">
        <f>IF('Pass&amp;CardChoice'!$B$33,D197-E197,IF('Pass&amp;CardChoice'!$B$34,D197,0))</f>
        <v>0</v>
      </c>
      <c r="G197" s="19"/>
      <c r="H197" s="1">
        <f>CHOOSE('Rental type'!A6,32,37,0)</f>
        <v>0</v>
      </c>
      <c r="I197" s="1">
        <f t="shared" si="37"/>
        <v>0</v>
      </c>
      <c r="J197" s="1">
        <f t="shared" si="50"/>
        <v>0</v>
      </c>
      <c r="K197" s="12">
        <f t="shared" si="51"/>
        <v>0</v>
      </c>
    </row>
    <row r="198" spans="2:11" ht="12.75">
      <c r="B198" t="s">
        <v>45</v>
      </c>
      <c r="C198" s="2"/>
      <c r="D198" s="12">
        <f>D197</f>
        <v>40</v>
      </c>
      <c r="E198" s="12">
        <f t="shared" si="40"/>
        <v>24</v>
      </c>
      <c r="F198" s="12">
        <f>IF('Pass&amp;CardChoice'!$B$33,D198-E198,IF('Pass&amp;CardChoice'!$B$34,D198,0))</f>
        <v>0</v>
      </c>
      <c r="G198" s="19"/>
      <c r="H198" s="1">
        <f>CHOOSE('Rental type'!A7,32,37,0)</f>
        <v>0</v>
      </c>
      <c r="I198" s="1">
        <f t="shared" si="37"/>
        <v>0</v>
      </c>
      <c r="J198" s="1">
        <f>H198-I198</f>
        <v>0</v>
      </c>
      <c r="K198" s="12">
        <f t="shared" si="51"/>
        <v>0</v>
      </c>
    </row>
    <row r="199" spans="2:11" ht="12.75">
      <c r="B199" t="s">
        <v>46</v>
      </c>
      <c r="C199" s="2"/>
      <c r="D199" s="12">
        <f>D198</f>
        <v>40</v>
      </c>
      <c r="E199" s="12">
        <f t="shared" si="40"/>
        <v>24</v>
      </c>
      <c r="F199" s="12">
        <f>IF('Pass&amp;CardChoice'!$B$33,D199-E199,IF('Pass&amp;CardChoice'!$B$34,D199,0))</f>
        <v>0</v>
      </c>
      <c r="G199" s="19"/>
      <c r="H199" s="1">
        <f>CHOOSE('Rental type'!A8,32,37,0)</f>
        <v>0</v>
      </c>
      <c r="I199" s="1">
        <f t="shared" si="37"/>
        <v>0</v>
      </c>
      <c r="J199" s="1">
        <f>H199-I199</f>
        <v>0</v>
      </c>
      <c r="K199" s="12">
        <f t="shared" si="51"/>
        <v>0</v>
      </c>
    </row>
    <row r="200" spans="2:11" ht="12.75">
      <c r="B200" t="s">
        <v>31</v>
      </c>
      <c r="C200" s="2"/>
      <c r="D200" s="12">
        <v>35</v>
      </c>
      <c r="E200" s="12">
        <f t="shared" si="40"/>
        <v>21</v>
      </c>
      <c r="F200" s="12">
        <f>IF('Pass&amp;CardChoice'!$B$33,D200-E200,IF('Pass&amp;CardChoice'!$B$34,D200,0))</f>
        <v>0</v>
      </c>
      <c r="G200" s="19"/>
      <c r="H200" s="1">
        <f>CHOOSE('Rental type'!A9,32,37,0)</f>
        <v>0</v>
      </c>
      <c r="I200" s="1">
        <f t="shared" si="37"/>
        <v>0</v>
      </c>
      <c r="J200" s="1">
        <f t="shared" si="50"/>
        <v>0</v>
      </c>
      <c r="K200" s="12">
        <f t="shared" si="51"/>
        <v>0</v>
      </c>
    </row>
    <row r="201" spans="2:11" ht="12.75">
      <c r="B201" t="s">
        <v>32</v>
      </c>
      <c r="C201" s="2"/>
      <c r="D201" s="12">
        <f>D200</f>
        <v>35</v>
      </c>
      <c r="E201" s="12">
        <f t="shared" si="40"/>
        <v>21</v>
      </c>
      <c r="F201" s="12">
        <f>IF('Pass&amp;CardChoice'!$B$33,D201-E201,IF('Pass&amp;CardChoice'!$B$34,D201,0))</f>
        <v>0</v>
      </c>
      <c r="G201" s="19"/>
      <c r="H201" s="1">
        <f>CHOOSE('Rental type'!A10,32,37,0)</f>
        <v>0</v>
      </c>
      <c r="I201" s="1">
        <f t="shared" si="37"/>
        <v>0</v>
      </c>
      <c r="J201" s="1">
        <f t="shared" si="50"/>
        <v>0</v>
      </c>
      <c r="K201" s="12">
        <f t="shared" si="51"/>
        <v>0</v>
      </c>
    </row>
    <row r="202" spans="2:11" ht="12.75">
      <c r="B202" t="s">
        <v>33</v>
      </c>
      <c r="C202" s="2"/>
      <c r="D202" s="12">
        <f>D201</f>
        <v>35</v>
      </c>
      <c r="E202" s="12">
        <f t="shared" si="40"/>
        <v>21</v>
      </c>
      <c r="F202" s="12">
        <f>IF('Pass&amp;CardChoice'!$B$33,D202-E202,IF('Pass&amp;CardChoice'!$B$34,D202,0))</f>
        <v>0</v>
      </c>
      <c r="G202" s="19"/>
      <c r="H202" s="1">
        <f>CHOOSE('Rental type'!A11,32,37,0)</f>
        <v>0</v>
      </c>
      <c r="I202" s="1">
        <f t="shared" si="37"/>
        <v>0</v>
      </c>
      <c r="J202" s="1">
        <f t="shared" si="50"/>
        <v>0</v>
      </c>
      <c r="K202" s="12">
        <f t="shared" si="51"/>
        <v>0</v>
      </c>
    </row>
    <row r="203" spans="2:11" ht="12.75">
      <c r="B203" t="s">
        <v>55</v>
      </c>
      <c r="C203" s="2"/>
      <c r="D203" s="12">
        <f>D196/2</f>
        <v>20</v>
      </c>
      <c r="E203" s="12">
        <f>D203</f>
        <v>20</v>
      </c>
      <c r="F203" s="12">
        <f>IF('Pass&amp;CardChoice'!$B$33,D203-E203,IF('Pass&amp;CardChoice'!$B$34,D203,0))</f>
        <v>0</v>
      </c>
      <c r="G203" s="19"/>
      <c r="H203" s="1">
        <f>CHOOSE('Rental type'!A12,32,37,0)</f>
        <v>0</v>
      </c>
      <c r="I203" s="1">
        <f t="shared" si="37"/>
        <v>0</v>
      </c>
      <c r="J203" s="1">
        <f>H203-I203</f>
        <v>0</v>
      </c>
      <c r="K203" s="12">
        <f>(C203*F203)+(G203*D203)+(C203*J203)+(G203*H203)</f>
        <v>0</v>
      </c>
    </row>
    <row r="204" spans="1:11" ht="12.75">
      <c r="A204" t="s">
        <v>8</v>
      </c>
      <c r="D204" s="12"/>
      <c r="E204" s="12"/>
      <c r="F204" s="12"/>
      <c r="K204" s="12"/>
    </row>
    <row r="205" spans="2:11" ht="12.75">
      <c r="B205" t="s">
        <v>29</v>
      </c>
      <c r="C205" s="2"/>
      <c r="D205" s="12">
        <v>35</v>
      </c>
      <c r="E205" s="12">
        <f t="shared" si="40"/>
        <v>21</v>
      </c>
      <c r="F205" s="12">
        <f>IF('Pass&amp;CardChoice'!$B$33,D205-E205,IF('Pass&amp;CardChoice'!$B$34,D205,0))</f>
        <v>0</v>
      </c>
      <c r="G205" s="19"/>
      <c r="H205" s="1">
        <f>CHOOSE('Rental type'!A5,28,32,0)</f>
        <v>0</v>
      </c>
      <c r="I205" s="1">
        <f t="shared" si="37"/>
        <v>0</v>
      </c>
      <c r="J205" s="1">
        <f aca="true" t="shared" si="52" ref="J205:J211">H205-I205</f>
        <v>0</v>
      </c>
      <c r="K205" s="12">
        <f aca="true" t="shared" si="53" ref="K205:K211">(C205*F205)+(G205*D205)+(C205*J205)+(G205*H205)</f>
        <v>0</v>
      </c>
    </row>
    <row r="206" spans="2:11" ht="12.75">
      <c r="B206" t="s">
        <v>30</v>
      </c>
      <c r="C206" s="2"/>
      <c r="D206" s="12">
        <f>D205</f>
        <v>35</v>
      </c>
      <c r="E206" s="12">
        <f t="shared" si="40"/>
        <v>21</v>
      </c>
      <c r="F206" s="12">
        <f>IF('Pass&amp;CardChoice'!$B$33,D206-E206,IF('Pass&amp;CardChoice'!$B$34,D206,0))</f>
        <v>0</v>
      </c>
      <c r="G206" s="19"/>
      <c r="H206" s="1">
        <f>CHOOSE('Rental type'!A6,28,32,0)</f>
        <v>0</v>
      </c>
      <c r="I206" s="1">
        <f t="shared" si="37"/>
        <v>0</v>
      </c>
      <c r="J206" s="1">
        <f t="shared" si="52"/>
        <v>0</v>
      </c>
      <c r="K206" s="12">
        <f t="shared" si="53"/>
        <v>0</v>
      </c>
    </row>
    <row r="207" spans="2:11" ht="12.75">
      <c r="B207" t="s">
        <v>45</v>
      </c>
      <c r="C207" s="2"/>
      <c r="D207" s="12">
        <f>D206</f>
        <v>35</v>
      </c>
      <c r="E207" s="12">
        <f t="shared" si="40"/>
        <v>21</v>
      </c>
      <c r="F207" s="12">
        <f>IF('Pass&amp;CardChoice'!$B$33,D207-E207,IF('Pass&amp;CardChoice'!$B$34,D207,0))</f>
        <v>0</v>
      </c>
      <c r="G207" s="19"/>
      <c r="H207" s="1">
        <f>CHOOSE('Rental type'!A7,28,32,0)</f>
        <v>0</v>
      </c>
      <c r="I207" s="1">
        <f t="shared" si="37"/>
        <v>0</v>
      </c>
      <c r="J207" s="1">
        <f>H207-I207</f>
        <v>0</v>
      </c>
      <c r="K207" s="12">
        <f t="shared" si="53"/>
        <v>0</v>
      </c>
    </row>
    <row r="208" spans="2:11" ht="12.75">
      <c r="B208" t="s">
        <v>46</v>
      </c>
      <c r="C208" s="2"/>
      <c r="D208" s="12">
        <f>D207</f>
        <v>35</v>
      </c>
      <c r="E208" s="12">
        <f t="shared" si="40"/>
        <v>21</v>
      </c>
      <c r="F208" s="12">
        <f>IF('Pass&amp;CardChoice'!$B$33,D208-E208,IF('Pass&amp;CardChoice'!$B$34,D208,0))</f>
        <v>0</v>
      </c>
      <c r="G208" s="19"/>
      <c r="H208" s="1">
        <f>CHOOSE('Rental type'!A8,28,32,0)</f>
        <v>0</v>
      </c>
      <c r="I208" s="1">
        <f t="shared" si="37"/>
        <v>0</v>
      </c>
      <c r="J208" s="1">
        <f>H208-I208</f>
        <v>0</v>
      </c>
      <c r="K208" s="12">
        <f t="shared" si="53"/>
        <v>0</v>
      </c>
    </row>
    <row r="209" spans="2:11" ht="12.75">
      <c r="B209" t="s">
        <v>31</v>
      </c>
      <c r="C209" s="2"/>
      <c r="D209" s="12">
        <v>30</v>
      </c>
      <c r="E209" s="12">
        <f t="shared" si="40"/>
        <v>18</v>
      </c>
      <c r="F209" s="12">
        <f>IF('Pass&amp;CardChoice'!$B$33,D209-E209,IF('Pass&amp;CardChoice'!$B$34,D209,0))</f>
        <v>0</v>
      </c>
      <c r="G209" s="19"/>
      <c r="H209" s="1">
        <f>CHOOSE('Rental type'!A9,28,32,0)</f>
        <v>0</v>
      </c>
      <c r="I209" s="1">
        <f t="shared" si="37"/>
        <v>0</v>
      </c>
      <c r="J209" s="1">
        <f t="shared" si="52"/>
        <v>0</v>
      </c>
      <c r="K209" s="12">
        <f t="shared" si="53"/>
        <v>0</v>
      </c>
    </row>
    <row r="210" spans="2:11" ht="12.75">
      <c r="B210" t="s">
        <v>32</v>
      </c>
      <c r="C210" s="2"/>
      <c r="D210" s="12">
        <f>D209</f>
        <v>30</v>
      </c>
      <c r="E210" s="12">
        <f t="shared" si="40"/>
        <v>18</v>
      </c>
      <c r="F210" s="12">
        <f>IF('Pass&amp;CardChoice'!$B$33,D210-E210,IF('Pass&amp;CardChoice'!$B$34,D210,0))</f>
        <v>0</v>
      </c>
      <c r="G210" s="19"/>
      <c r="H210" s="1">
        <f>CHOOSE('Rental type'!A10,28,32,0)</f>
        <v>0</v>
      </c>
      <c r="I210" s="1">
        <f t="shared" si="37"/>
        <v>0</v>
      </c>
      <c r="J210" s="1">
        <f t="shared" si="52"/>
        <v>0</v>
      </c>
      <c r="K210" s="12">
        <f t="shared" si="53"/>
        <v>0</v>
      </c>
    </row>
    <row r="211" spans="2:11" ht="12.75">
      <c r="B211" t="s">
        <v>33</v>
      </c>
      <c r="C211" s="2"/>
      <c r="D211" s="12">
        <f>D210</f>
        <v>30</v>
      </c>
      <c r="E211" s="12">
        <f t="shared" si="40"/>
        <v>18</v>
      </c>
      <c r="F211" s="12">
        <f>IF('Pass&amp;CardChoice'!$B$33,D211-E211,IF('Pass&amp;CardChoice'!$B$34,D211,0))</f>
        <v>0</v>
      </c>
      <c r="G211" s="19"/>
      <c r="H211" s="1">
        <f>CHOOSE('Rental type'!A11,28,32,0)</f>
        <v>0</v>
      </c>
      <c r="I211" s="1">
        <f t="shared" si="37"/>
        <v>0</v>
      </c>
      <c r="J211" s="1">
        <f t="shared" si="52"/>
        <v>0</v>
      </c>
      <c r="K211" s="12">
        <f t="shared" si="53"/>
        <v>0</v>
      </c>
    </row>
    <row r="212" spans="2:11" ht="12.75">
      <c r="B212" t="s">
        <v>55</v>
      </c>
      <c r="C212" s="2"/>
      <c r="D212" s="12">
        <f>D205/2</f>
        <v>17.5</v>
      </c>
      <c r="E212" s="12">
        <f>D212</f>
        <v>17.5</v>
      </c>
      <c r="F212" s="12">
        <f>IF('Pass&amp;CardChoice'!$B$33,D212-E212,IF('Pass&amp;CardChoice'!$B$34,D212,0))</f>
        <v>0</v>
      </c>
      <c r="G212" s="19"/>
      <c r="H212" s="1">
        <f>CHOOSE('Rental type'!A12,28,32,0)</f>
        <v>0</v>
      </c>
      <c r="I212" s="1">
        <f t="shared" si="37"/>
        <v>0</v>
      </c>
      <c r="J212" s="1">
        <f>H212-I212</f>
        <v>0</v>
      </c>
      <c r="K212" s="12">
        <f>(C212*F212)+(G212*D212)+(C212*J212)+(G212*H212)</f>
        <v>0</v>
      </c>
    </row>
    <row r="213" spans="1:11" ht="12.75">
      <c r="A213" t="s">
        <v>15</v>
      </c>
      <c r="C213" s="28"/>
      <c r="D213" s="12"/>
      <c r="E213" s="12"/>
      <c r="F213" s="12"/>
      <c r="K213" s="16"/>
    </row>
    <row r="214" spans="2:11" ht="12.75">
      <c r="B214" t="s">
        <v>1</v>
      </c>
      <c r="C214" s="2"/>
      <c r="D214" s="12">
        <v>26</v>
      </c>
      <c r="E214" s="12">
        <f>0.6*D214</f>
        <v>15.6</v>
      </c>
      <c r="F214" s="12">
        <f>IF('Pass&amp;CardChoice'!$B$33,D214-E214,IF('Pass&amp;CardChoice'!$B$34,0.5*D214,0))</f>
        <v>0</v>
      </c>
      <c r="K214" s="16">
        <f>C214*F214</f>
        <v>0</v>
      </c>
    </row>
    <row r="215" spans="2:11" ht="12.75">
      <c r="B215" t="s">
        <v>18</v>
      </c>
      <c r="C215" s="2"/>
      <c r="D215" s="12">
        <v>34</v>
      </c>
      <c r="E215" s="12">
        <f>0.6*D215</f>
        <v>20.4</v>
      </c>
      <c r="F215" s="12">
        <f>IF('Pass&amp;CardChoice'!$B$33,D215-E215,IF('Pass&amp;CardChoice'!$B$34,0.5*D215,0))</f>
        <v>0</v>
      </c>
      <c r="K215" s="16">
        <f>C215*F215</f>
        <v>0</v>
      </c>
    </row>
    <row r="216" spans="2:11" ht="12.75">
      <c r="B216" t="s">
        <v>19</v>
      </c>
      <c r="C216" s="2"/>
      <c r="D216" s="12">
        <v>31</v>
      </c>
      <c r="E216" s="12">
        <f>0.6*D216</f>
        <v>18.599999999999998</v>
      </c>
      <c r="F216" s="12">
        <f>IF('Pass&amp;CardChoice'!$B$33,D216-E216,IF('Pass&amp;CardChoice'!$B$34,0.5*D216,0))</f>
        <v>0</v>
      </c>
      <c r="K216" s="16">
        <f>C216*F216</f>
        <v>0</v>
      </c>
    </row>
    <row r="217" ht="12.75">
      <c r="K217" s="17">
        <f>SUM(K150:K216)</f>
        <v>0</v>
      </c>
    </row>
    <row r="218" spans="3:11" ht="24" customHeight="1">
      <c r="C218" t="s">
        <v>108</v>
      </c>
      <c r="G218" s="1" t="s">
        <v>72</v>
      </c>
      <c r="K218" s="1" t="s">
        <v>26</v>
      </c>
    </row>
    <row r="219" spans="3:7" ht="12.75">
      <c r="C219">
        <f>SUM(C13:C216)</f>
        <v>0</v>
      </c>
      <c r="G219" s="1">
        <f>SUM(G14:G212)</f>
        <v>0</v>
      </c>
    </row>
  </sheetData>
  <printOptions/>
  <pageMargins left="0.75" right="0.75" top="1" bottom="1" header="0.5" footer="0.5"/>
  <pageSetup horizontalDpi="720" verticalDpi="720" orientation="landscape" r:id="rId3"/>
  <headerFooter alignWithMargins="0">
    <oddHeader>&amp;C&amp;"Arial,Bold"&amp;20Advantage Card Savings Calculator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34"/>
  <sheetViews>
    <sheetView tabSelected="1" workbookViewId="0" topLeftCell="A2">
      <selection activeCell="A13" sqref="A13"/>
    </sheetView>
  </sheetViews>
  <sheetFormatPr defaultColWidth="9.140625" defaultRowHeight="12.75"/>
  <cols>
    <col min="2" max="2" width="9.140625" style="29" customWidth="1"/>
    <col min="3" max="3" width="22.28125" style="0" customWidth="1"/>
    <col min="6" max="6" width="9.140625" style="29" customWidth="1"/>
    <col min="7" max="7" width="18.00390625" style="0" customWidth="1"/>
  </cols>
  <sheetData>
    <row r="1" ht="37.5" customHeight="1">
      <c r="B1" s="29">
        <v>1</v>
      </c>
    </row>
    <row r="2" ht="12.75"/>
    <row r="3" ht="39.75" customHeight="1">
      <c r="B3" s="29">
        <v>1</v>
      </c>
    </row>
    <row r="4" spans="1:8" ht="12.75">
      <c r="A4" t="s">
        <v>57</v>
      </c>
      <c r="D4" t="s">
        <v>58</v>
      </c>
      <c r="H4" t="s">
        <v>58</v>
      </c>
    </row>
    <row r="5" spans="1:8" ht="12.75">
      <c r="A5">
        <f>IF(B5,D5+(IF(F5,H5,0)+IF($B$3=1,-5,0)+IF($B$1=1,-25,0)),0)</f>
        <v>0</v>
      </c>
      <c r="B5" s="29" t="b">
        <v>0</v>
      </c>
      <c r="D5" s="24">
        <v>109</v>
      </c>
      <c r="H5" s="24">
        <v>44</v>
      </c>
    </row>
    <row r="6" spans="1:8" ht="12.75">
      <c r="A6">
        <f>IF(B6,D6+(F6*H6)+IF($B$3=1,-5,0)+IF($B$1=1,-25,0),0)</f>
        <v>0</v>
      </c>
      <c r="B6" s="29" t="b">
        <v>0</v>
      </c>
      <c r="D6" s="24">
        <v>184</v>
      </c>
      <c r="F6" s="30">
        <f>'Rental type'!A15</f>
        <v>0</v>
      </c>
      <c r="G6" t="s">
        <v>85</v>
      </c>
      <c r="H6" s="24">
        <v>44</v>
      </c>
    </row>
    <row r="7" spans="1:4" ht="12.75">
      <c r="A7">
        <f>IF(B7,D7,0)</f>
        <v>0</v>
      </c>
      <c r="B7" s="29" t="b">
        <v>0</v>
      </c>
      <c r="D7" s="24">
        <v>39</v>
      </c>
    </row>
    <row r="8" spans="1:4" ht="12.75">
      <c r="A8">
        <f>IF(B8,D8,0)</f>
        <v>0</v>
      </c>
      <c r="B8" s="29" t="b">
        <v>0</v>
      </c>
      <c r="D8" s="24">
        <v>39</v>
      </c>
    </row>
    <row r="9" spans="1:8" ht="12.75">
      <c r="A9">
        <f>IF(B9,D9+(IF(F9,(0.05*D9),0)+IF($B$3=1,-25,0)+IF($B$1=1,-100,0)),0)</f>
        <v>0</v>
      </c>
      <c r="B9" s="29" t="b">
        <v>0</v>
      </c>
      <c r="D9" s="24">
        <v>635</v>
      </c>
      <c r="H9" s="22">
        <v>0.05</v>
      </c>
    </row>
    <row r="10" spans="1:8" ht="12.75">
      <c r="A10">
        <f aca="true" t="shared" si="0" ref="A10:A20">IF(B10,D10+(IF(F10,(0.05*D10),0)+IF($B$3=1,-25,0)+IF($B$1=1,-100,0)),0)</f>
        <v>0</v>
      </c>
      <c r="B10" s="29" t="b">
        <v>0</v>
      </c>
      <c r="D10" s="24">
        <v>540</v>
      </c>
      <c r="H10" s="22">
        <v>0.05</v>
      </c>
    </row>
    <row r="11" spans="1:8" ht="12.75">
      <c r="A11">
        <f t="shared" si="0"/>
        <v>0</v>
      </c>
      <c r="B11" s="29" t="b">
        <v>0</v>
      </c>
      <c r="D11" s="24">
        <v>540</v>
      </c>
      <c r="H11" s="22">
        <v>0.05</v>
      </c>
    </row>
    <row r="12" spans="1:8" ht="12.75">
      <c r="A12">
        <f t="shared" si="0"/>
        <v>0</v>
      </c>
      <c r="B12" s="29" t="b">
        <v>0</v>
      </c>
      <c r="D12" s="24">
        <v>349</v>
      </c>
      <c r="H12" s="22">
        <v>0.05</v>
      </c>
    </row>
    <row r="13" spans="1:8" ht="12.75">
      <c r="A13">
        <f>IF(B13,D13+(IF(F13,(0.05*D13),0)+IF($B$3=1,-25,0)),0)</f>
        <v>0</v>
      </c>
      <c r="B13" s="29" t="b">
        <v>0</v>
      </c>
      <c r="D13" s="24">
        <v>199</v>
      </c>
      <c r="H13" s="22">
        <v>0.05</v>
      </c>
    </row>
    <row r="14" spans="1:8" ht="12.75">
      <c r="A14">
        <f t="shared" si="0"/>
        <v>0</v>
      </c>
      <c r="B14" s="29" t="b">
        <v>0</v>
      </c>
      <c r="D14" s="24">
        <v>349</v>
      </c>
      <c r="H14" s="22">
        <v>0.05</v>
      </c>
    </row>
    <row r="15" spans="1:8" ht="12.75">
      <c r="A15">
        <f t="shared" si="0"/>
        <v>0</v>
      </c>
      <c r="B15" s="29" t="b">
        <v>0</v>
      </c>
      <c r="D15" s="24">
        <v>480</v>
      </c>
      <c r="H15" s="22">
        <v>0.05</v>
      </c>
    </row>
    <row r="16" spans="1:8" ht="12.75">
      <c r="A16">
        <f t="shared" si="0"/>
        <v>0</v>
      </c>
      <c r="B16" s="29" t="b">
        <v>0</v>
      </c>
      <c r="D16" s="24">
        <v>380</v>
      </c>
      <c r="H16" s="22">
        <v>0.05</v>
      </c>
    </row>
    <row r="17" spans="1:8" ht="12.75">
      <c r="A17">
        <f t="shared" si="0"/>
        <v>0</v>
      </c>
      <c r="B17" s="29" t="b">
        <v>0</v>
      </c>
      <c r="D17" s="24">
        <v>380</v>
      </c>
      <c r="H17" s="22">
        <v>0.05</v>
      </c>
    </row>
    <row r="18" spans="1:8" ht="12.75">
      <c r="A18">
        <f t="shared" si="0"/>
        <v>0</v>
      </c>
      <c r="B18" s="29" t="b">
        <v>0</v>
      </c>
      <c r="D18" s="24">
        <v>380</v>
      </c>
      <c r="H18" s="22">
        <v>0.05</v>
      </c>
    </row>
    <row r="19" spans="1:8" ht="12.75">
      <c r="A19">
        <f t="shared" si="0"/>
        <v>0</v>
      </c>
      <c r="B19" s="29" t="b">
        <v>0</v>
      </c>
      <c r="D19" s="24">
        <v>380</v>
      </c>
      <c r="H19" s="22">
        <v>0.05</v>
      </c>
    </row>
    <row r="20" spans="1:8" ht="12.75">
      <c r="A20">
        <f t="shared" si="0"/>
        <v>0</v>
      </c>
      <c r="B20" s="29" t="b">
        <v>0</v>
      </c>
      <c r="D20" s="24">
        <v>380</v>
      </c>
      <c r="H20" s="22">
        <v>0.05</v>
      </c>
    </row>
    <row r="21" ht="12.75"/>
    <row r="22" spans="1:2" ht="12.75">
      <c r="A22">
        <f>SUM(A5:A21)</f>
        <v>0</v>
      </c>
      <c r="B22" s="29" t="s">
        <v>59</v>
      </c>
    </row>
    <row r="23" ht="12.75"/>
    <row r="24" ht="12.75"/>
    <row r="25" ht="12.75"/>
    <row r="27" ht="12.75">
      <c r="C27" t="s">
        <v>112</v>
      </c>
    </row>
    <row r="28" ht="12.75">
      <c r="C28" t="s">
        <v>111</v>
      </c>
    </row>
    <row r="29" ht="12.75">
      <c r="C29" t="s">
        <v>113</v>
      </c>
    </row>
    <row r="33" spans="2:3" ht="12.75">
      <c r="B33" s="29" t="b">
        <f>OR(B5,B6,B7,B8)</f>
        <v>0</v>
      </c>
      <c r="C33" t="s">
        <v>68</v>
      </c>
    </row>
    <row r="34" spans="2:3" ht="12.75">
      <c r="B34" s="29" t="b">
        <f>OR(B9,B10,B11,B12,B13,B14,B15,B16,B17,B18,B19,B20)</f>
        <v>0</v>
      </c>
      <c r="C34" t="s">
        <v>77</v>
      </c>
    </row>
  </sheetData>
  <printOptions/>
  <pageMargins left="0.75" right="0.75" top="1" bottom="1" header="0.5" footer="0.5"/>
  <pageSetup horizontalDpi="300" verticalDpi="300" orientation="portrait" r:id="rId3"/>
  <ignoredErrors>
    <ignoredError sqref="A1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4:F15"/>
  <sheetViews>
    <sheetView workbookViewId="0" topLeftCell="A1">
      <selection activeCell="A12" sqref="A12"/>
    </sheetView>
  </sheetViews>
  <sheetFormatPr defaultColWidth="9.140625" defaultRowHeight="12.75"/>
  <cols>
    <col min="1" max="1" width="9.140625" style="29" customWidth="1"/>
    <col min="3" max="3" width="13.421875" style="0" customWidth="1"/>
    <col min="4" max="4" width="19.57421875" style="0" customWidth="1"/>
    <col min="5" max="5" width="19.140625" style="0" customWidth="1"/>
  </cols>
  <sheetData>
    <row r="4" ht="12.75">
      <c r="B4" t="s">
        <v>74</v>
      </c>
    </row>
    <row r="5" spans="1:6" ht="41.25" customHeight="1">
      <c r="A5" s="29">
        <v>3</v>
      </c>
      <c r="B5" t="s">
        <v>29</v>
      </c>
      <c r="F5" s="37">
        <f>IF(AND(A5&lt;3,'Pass&amp;CardChoice'!B5,NOT('Pass&amp;CardChoice'!F5)),"Please select the rental option on the card choice sheet","")</f>
      </c>
    </row>
    <row r="6" spans="1:2" ht="41.25" customHeight="1">
      <c r="A6" s="29">
        <v>3</v>
      </c>
      <c r="B6" t="s">
        <v>30</v>
      </c>
    </row>
    <row r="7" spans="1:2" ht="41.25" customHeight="1">
      <c r="A7" s="29">
        <v>3</v>
      </c>
      <c r="B7" t="s">
        <v>45</v>
      </c>
    </row>
    <row r="8" spans="1:2" ht="41.25" customHeight="1">
      <c r="A8" s="29">
        <v>3</v>
      </c>
      <c r="B8" t="s">
        <v>46</v>
      </c>
    </row>
    <row r="9" spans="1:2" ht="41.25" customHeight="1">
      <c r="A9" s="29">
        <v>3</v>
      </c>
      <c r="B9" t="s">
        <v>31</v>
      </c>
    </row>
    <row r="10" spans="1:2" ht="41.25" customHeight="1">
      <c r="A10" s="29">
        <v>3</v>
      </c>
      <c r="B10" t="s">
        <v>32</v>
      </c>
    </row>
    <row r="11" spans="1:2" ht="41.25" customHeight="1">
      <c r="A11" s="29">
        <v>3</v>
      </c>
      <c r="B11" t="s">
        <v>33</v>
      </c>
    </row>
    <row r="12" spans="1:2" ht="40.5" customHeight="1">
      <c r="A12" s="29">
        <v>3</v>
      </c>
      <c r="B12" t="s">
        <v>55</v>
      </c>
    </row>
    <row r="13" ht="12.75"/>
    <row r="15" spans="1:2" ht="12.75">
      <c r="A15" s="30">
        <f>IF(A5&lt;3,1,0)+IF(A6&lt;3,1,0)+IF(A7&lt;3,1,0)+IF(A8&lt;3,1,0)+IF(A9&lt;3,1,0)+IF(A10&lt;3,1,0)+IF(A11&lt;3,1,0)+IF(A12&lt;3,1,0)</f>
        <v>0</v>
      </c>
      <c r="B15" t="s">
        <v>89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2:B23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74.140625" style="0" customWidth="1"/>
  </cols>
  <sheetData>
    <row r="2" ht="12.75">
      <c r="A2" t="s">
        <v>101</v>
      </c>
    </row>
    <row r="6" ht="12.75">
      <c r="A6" s="25" t="s">
        <v>69</v>
      </c>
    </row>
    <row r="7" spans="1:2" ht="12.75">
      <c r="A7" s="27" t="s">
        <v>70</v>
      </c>
      <c r="B7" s="27" t="s">
        <v>60</v>
      </c>
    </row>
    <row r="8" spans="1:2" ht="12.75">
      <c r="A8" t="s">
        <v>61</v>
      </c>
      <c r="B8" t="s">
        <v>62</v>
      </c>
    </row>
    <row r="9" spans="1:2" ht="12.75">
      <c r="A9" s="23" t="s">
        <v>81</v>
      </c>
      <c r="B9" t="s">
        <v>63</v>
      </c>
    </row>
    <row r="10" spans="1:2" ht="12.75">
      <c r="A10" s="23" t="s">
        <v>82</v>
      </c>
      <c r="B10" t="s">
        <v>64</v>
      </c>
    </row>
    <row r="11" spans="1:2" ht="12.75">
      <c r="A11" t="s">
        <v>80</v>
      </c>
      <c r="B11" t="s">
        <v>65</v>
      </c>
    </row>
    <row r="13" ht="12.75">
      <c r="A13" s="25" t="s">
        <v>76</v>
      </c>
    </row>
    <row r="15" ht="12.75">
      <c r="A15" s="26" t="s">
        <v>66</v>
      </c>
    </row>
    <row r="16" spans="1:2" ht="12.75">
      <c r="A16" s="27" t="s">
        <v>70</v>
      </c>
      <c r="B16" s="27" t="s">
        <v>60</v>
      </c>
    </row>
    <row r="17" spans="1:2" ht="12.75">
      <c r="A17" t="s">
        <v>67</v>
      </c>
      <c r="B17" t="s">
        <v>62</v>
      </c>
    </row>
    <row r="18" spans="1:2" ht="12.75">
      <c r="A18" s="23" t="s">
        <v>83</v>
      </c>
      <c r="B18" t="s">
        <v>63</v>
      </c>
    </row>
    <row r="19" spans="1:2" ht="12.75">
      <c r="A19" s="23" t="s">
        <v>84</v>
      </c>
      <c r="B19" t="s">
        <v>64</v>
      </c>
    </row>
    <row r="20" spans="1:2" ht="12.75">
      <c r="A20" t="s">
        <v>79</v>
      </c>
      <c r="B20" t="s">
        <v>71</v>
      </c>
    </row>
    <row r="23" ht="12.75">
      <c r="A23" s="25" t="s">
        <v>75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F11"/>
  <sheetViews>
    <sheetView workbookViewId="0" topLeftCell="A1">
      <selection activeCell="K7" sqref="K7"/>
    </sheetView>
  </sheetViews>
  <sheetFormatPr defaultColWidth="9.140625" defaultRowHeight="12.75"/>
  <cols>
    <col min="5" max="5" width="9.140625" style="31" customWidth="1"/>
  </cols>
  <sheetData>
    <row r="1" spans="1:5" s="39" customFormat="1" ht="12.75">
      <c r="A1" s="38" t="s">
        <v>97</v>
      </c>
      <c r="E1" s="40"/>
    </row>
    <row r="2" spans="3:6" ht="12.75">
      <c r="C2" t="s">
        <v>42</v>
      </c>
      <c r="D2" t="s">
        <v>43</v>
      </c>
      <c r="E2" s="31" t="s">
        <v>44</v>
      </c>
      <c r="F2" t="s">
        <v>73</v>
      </c>
    </row>
    <row r="3" spans="2:6" ht="12.75">
      <c r="B3" t="s">
        <v>29</v>
      </c>
      <c r="C3">
        <f>ROUNDDOWN((Calculator!C14+Calculator!C23+Calculator!C32+Calculator!C41+Calculator!C50+Calculator!C59+Calculator!C68+Calculator!C82+Calculator!C91+Calculator!C100+Calculator!C109+Calculator!C118+Calculator!C127+Calculator!C136+Calculator!C151+Calculator!C160+Calculator!C169+Calculator!C178+Calculator!C187+Calculator!C196+Calculator!C205)/5,0)</f>
        <v>0</v>
      </c>
      <c r="D3">
        <f>(Calculator!G14+Calculator!G23+Calculator!G32+Calculator!G41+Calculator!G59+Calculator!G68+Calculator!G82+Calculator!G91+Calculator!G100+Calculator!G109+Calculator!G118+Calculator!G127+Calculator!G136+Calculator!G151+Calculator!G160+Calculator!G169+Calculator!G178+Calculator!G187+Calculator!G196+Calculator!G205)</f>
        <v>0</v>
      </c>
      <c r="E3" s="31">
        <f>C3-D3</f>
        <v>0</v>
      </c>
      <c r="F3">
        <f>IF(E3&lt;0,"Error - too many free tickets used","")</f>
      </c>
    </row>
    <row r="4" spans="2:6" ht="12.75">
      <c r="B4" t="s">
        <v>30</v>
      </c>
      <c r="C4">
        <f>ROUNDDOWN((Calculator!C15+Calculator!C24+Calculator!C33+Calculator!C42+Calculator!C51+Calculator!C60+Calculator!C69+Calculator!C83+Calculator!C92+Calculator!C101+Calculator!C110+Calculator!C119+Calculator!C128+Calculator!C137+Calculator!C152+Calculator!C161+Calculator!C170+Calculator!C179+Calculator!C188+Calculator!C197+Calculator!C206)/5,0)</f>
        <v>0</v>
      </c>
      <c r="D4">
        <f>(Calculator!G15+Calculator!G24+Calculator!G33+Calculator!G42+Calculator!G60+Calculator!G69+Calculator!G83+Calculator!G92+Calculator!G101+Calculator!G110+Calculator!G119+Calculator!G128+Calculator!G137+Calculator!G152+Calculator!G161+Calculator!G170+Calculator!G179+Calculator!G188+Calculator!G197+Calculator!G206)</f>
        <v>0</v>
      </c>
      <c r="E4" s="31">
        <f aca="true" t="shared" si="0" ref="E4:E10">C4-D4</f>
        <v>0</v>
      </c>
      <c r="F4">
        <f aca="true" t="shared" si="1" ref="F4:F10">IF(E4&lt;0,"Error - too many free tickets used","")</f>
      </c>
    </row>
    <row r="5" spans="2:6" ht="12.75">
      <c r="B5" t="s">
        <v>45</v>
      </c>
      <c r="C5">
        <f>ROUNDDOWN((Calculator!C16+Calculator!C25+Calculator!C34+Calculator!C43+Calculator!C52+Calculator!C61+Calculator!C70+Calculator!C84+Calculator!C93+Calculator!C102+Calculator!C111+Calculator!C120+Calculator!C129+Calculator!C138+Calculator!C153+Calculator!C162+Calculator!C171+Calculator!C180+Calculator!C189+Calculator!C198+Calculator!C207)/5,0)</f>
        <v>0</v>
      </c>
      <c r="D5">
        <f>(Calculator!G16+Calculator!G25+Calculator!G34+Calculator!G43+Calculator!G61+Calculator!G70+Calculator!G84+Calculator!G93+Calculator!G102+Calculator!G111+Calculator!G120+Calculator!G129+Calculator!G138+Calculator!G153+Calculator!G162+Calculator!G171+Calculator!G180+Calculator!G189+Calculator!G198+Calculator!G207)</f>
        <v>0</v>
      </c>
      <c r="E5" s="31">
        <f t="shared" si="0"/>
        <v>0</v>
      </c>
      <c r="F5">
        <f t="shared" si="1"/>
      </c>
    </row>
    <row r="6" spans="2:6" ht="12.75">
      <c r="B6" t="s">
        <v>46</v>
      </c>
      <c r="C6">
        <f>ROUNDDOWN((Calculator!C17+Calculator!C26+Calculator!C35+Calculator!C44+Calculator!C53+Calculator!C62+Calculator!C71+Calculator!C85+Calculator!C94+Calculator!C103+Calculator!C112+Calculator!C121+Calculator!C130+Calculator!C139+Calculator!C154+Calculator!C163+Calculator!C172+Calculator!C181+Calculator!C190+Calculator!C199+Calculator!C208)/5,0)</f>
        <v>0</v>
      </c>
      <c r="D6">
        <f>(Calculator!G17+Calculator!G26+Calculator!G35+Calculator!G44+Calculator!G62+Calculator!G71+Calculator!G85+Calculator!G94+Calculator!G103+Calculator!G112+Calculator!G121+Calculator!G130+Calculator!G139+Calculator!G154+Calculator!G163+Calculator!G172+Calculator!G181+Calculator!G190+Calculator!G199+Calculator!G208)</f>
        <v>0</v>
      </c>
      <c r="E6" s="31">
        <f t="shared" si="0"/>
        <v>0</v>
      </c>
      <c r="F6">
        <f t="shared" si="1"/>
      </c>
    </row>
    <row r="7" spans="2:6" ht="12.75">
      <c r="B7" t="s">
        <v>31</v>
      </c>
      <c r="C7">
        <f>ROUNDDOWN((Calculator!C18+Calculator!C27+Calculator!C36+Calculator!C45+Calculator!C54+Calculator!C63+Calculator!C72+Calculator!C86+Calculator!C95+Calculator!C104+Calculator!C113+Calculator!C122+Calculator!C131+Calculator!C140+Calculator!C155+Calculator!C164+Calculator!C173+Calculator!C182+Calculator!C191+Calculator!C200+Calculator!C209)/5,0)</f>
        <v>0</v>
      </c>
      <c r="D7">
        <f>(Calculator!G18+Calculator!G27+Calculator!G36+Calculator!G45+Calculator!G63+Calculator!G72+Calculator!G86+Calculator!G95+Calculator!G104+Calculator!G113+Calculator!G122+Calculator!G131+Calculator!G140+Calculator!G155+Calculator!G164+Calculator!G173+Calculator!G182+Calculator!G191+Calculator!G200+Calculator!G209)</f>
        <v>0</v>
      </c>
      <c r="E7" s="31">
        <f t="shared" si="0"/>
        <v>0</v>
      </c>
      <c r="F7">
        <f t="shared" si="1"/>
      </c>
    </row>
    <row r="8" spans="2:6" ht="12.75">
      <c r="B8" t="s">
        <v>32</v>
      </c>
      <c r="C8">
        <f>ROUNDDOWN((Calculator!C19+Calculator!C28+Calculator!C37+Calculator!C46+Calculator!C55+Calculator!C64+Calculator!C73+Calculator!C87+Calculator!C96+Calculator!C105+Calculator!C114+Calculator!C123+Calculator!C132+Calculator!C141+Calculator!C156+Calculator!C165+Calculator!C174+Calculator!C183+Calculator!C192+Calculator!C201+Calculator!C210)/5,0)</f>
        <v>0</v>
      </c>
      <c r="D8">
        <f>(Calculator!G19+Calculator!G28+Calculator!G37+Calculator!G46+Calculator!G64+Calculator!G73+Calculator!G87+Calculator!G96+Calculator!G105+Calculator!G114+Calculator!G123+Calculator!G132+Calculator!G141+Calculator!G156+Calculator!G165+Calculator!G174+Calculator!G183+Calculator!G192+Calculator!G201+Calculator!G210)</f>
        <v>0</v>
      </c>
      <c r="E8" s="31">
        <f t="shared" si="0"/>
        <v>0</v>
      </c>
      <c r="F8">
        <f t="shared" si="1"/>
      </c>
    </row>
    <row r="9" spans="2:6" ht="12.75">
      <c r="B9" t="s">
        <v>33</v>
      </c>
      <c r="C9">
        <f>ROUNDDOWN((Calculator!C20+Calculator!C29+Calculator!C38+Calculator!C47+Calculator!C56+Calculator!C65+Calculator!C74+Calculator!C88+Calculator!C97+Calculator!C106+Calculator!C115+Calculator!C124+Calculator!C133+Calculator!C142+Calculator!C157+Calculator!C166+Calculator!C175+Calculator!C184+Calculator!C193+Calculator!C202+Calculator!C211)/5,0)</f>
        <v>0</v>
      </c>
      <c r="D9">
        <f>(Calculator!G20+Calculator!G29+Calculator!G38+Calculator!G47+Calculator!G65+Calculator!G74+Calculator!G88+Calculator!G97+Calculator!G106+Calculator!G115+Calculator!G124+Calculator!G133+Calculator!G142+Calculator!G157+Calculator!G166+Calculator!G175+Calculator!G184+Calculator!G193+Calculator!G202+Calculator!G211)</f>
        <v>0</v>
      </c>
      <c r="E9" s="31">
        <f t="shared" si="0"/>
        <v>0</v>
      </c>
      <c r="F9">
        <f t="shared" si="1"/>
      </c>
    </row>
    <row r="10" spans="2:6" ht="12.75">
      <c r="B10" t="s">
        <v>55</v>
      </c>
      <c r="C10">
        <f>ROUNDDOWN((Calculator!C21+Calculator!C30+Calculator!C39+Calculator!C48+Calculator!C57+Calculator!C66+Calculator!C75+Calculator!C89+Calculator!C98+Calculator!C107+Calculator!C116+Calculator!C125+Calculator!C134+Calculator!C143+Calculator!C158+Calculator!C167+Calculator!C176+Calculator!C185+Calculator!C194+Calculator!C203+Calculator!C212)/5,0)</f>
        <v>0</v>
      </c>
      <c r="D10">
        <f>(Calculator!G21+Calculator!G30+Calculator!G39+Calculator!G48+Calculator!G66+Calculator!G75+Calculator!G89+Calculator!G98+Calculator!G107+Calculator!G116+Calculator!G125+Calculator!G134+Calculator!G143+Calculator!G158+Calculator!G167+Calculator!G176+Calculator!G185+Calculator!G194+Calculator!G203+Calculator!G212)</f>
        <v>0</v>
      </c>
      <c r="E10" s="31">
        <f t="shared" si="0"/>
        <v>0</v>
      </c>
      <c r="F10">
        <f t="shared" si="1"/>
      </c>
    </row>
    <row r="11" spans="5:6" ht="12.75">
      <c r="E11" s="31">
        <f>SUM(E3:E10)</f>
        <v>0</v>
      </c>
      <c r="F11" t="s">
        <v>96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40"/>
  <sheetViews>
    <sheetView workbookViewId="0" topLeftCell="A1">
      <selection activeCell="A3" sqref="A3"/>
    </sheetView>
  </sheetViews>
  <sheetFormatPr defaultColWidth="9.140625" defaultRowHeight="12.75"/>
  <cols>
    <col min="1" max="1" width="133.421875" style="1" customWidth="1"/>
  </cols>
  <sheetData>
    <row r="1" ht="26.25" customHeight="1">
      <c r="A1" s="18" t="s">
        <v>95</v>
      </c>
    </row>
    <row r="2" ht="26.25" customHeight="1">
      <c r="A2" s="20" t="s">
        <v>115</v>
      </c>
    </row>
    <row r="3" ht="26.25" customHeight="1">
      <c r="A3" s="20" t="s">
        <v>114</v>
      </c>
    </row>
    <row r="4" ht="26.25" customHeight="1">
      <c r="A4" s="20" t="s">
        <v>105</v>
      </c>
    </row>
    <row r="5" ht="26.25" customHeight="1">
      <c r="A5" s="20" t="s">
        <v>103</v>
      </c>
    </row>
    <row r="6" ht="26.25" customHeight="1">
      <c r="A6" s="20" t="s">
        <v>99</v>
      </c>
    </row>
    <row r="7" ht="26.25" customHeight="1"/>
    <row r="8" ht="26.25" customHeight="1">
      <c r="A8" s="20" t="s">
        <v>100</v>
      </c>
    </row>
    <row r="9" ht="26.25" customHeight="1">
      <c r="A9" s="1" t="s">
        <v>36</v>
      </c>
    </row>
    <row r="10" ht="26.25" customHeight="1">
      <c r="A10" s="20" t="s">
        <v>102</v>
      </c>
    </row>
    <row r="11" ht="26.25" customHeight="1">
      <c r="A11" s="1" t="s">
        <v>107</v>
      </c>
    </row>
    <row r="12" ht="26.25" customHeight="1">
      <c r="A12" s="1" t="s">
        <v>52</v>
      </c>
    </row>
    <row r="13" ht="26.25" customHeight="1">
      <c r="A13" s="20" t="s">
        <v>98</v>
      </c>
    </row>
    <row r="14" ht="26.25" customHeight="1">
      <c r="A14" s="1" t="s">
        <v>109</v>
      </c>
    </row>
    <row r="15" ht="26.25" customHeight="1">
      <c r="A15" s="1" t="s">
        <v>110</v>
      </c>
    </row>
    <row r="16" ht="26.25" customHeight="1">
      <c r="A16" s="20"/>
    </row>
    <row r="17" ht="26.25" customHeight="1">
      <c r="A17" s="42" t="s">
        <v>104</v>
      </c>
    </row>
    <row r="18" ht="24" customHeight="1">
      <c r="A18" s="1" t="s">
        <v>88</v>
      </c>
    </row>
    <row r="19" ht="17.25" customHeight="1">
      <c r="A19" s="1" t="s">
        <v>87</v>
      </c>
    </row>
    <row r="20" ht="18" customHeight="1">
      <c r="A20" s="20" t="s">
        <v>54</v>
      </c>
    </row>
    <row r="21" ht="12.75">
      <c r="A21" s="1" t="s">
        <v>106</v>
      </c>
    </row>
    <row r="22" ht="12.75">
      <c r="A22" s="1" t="s">
        <v>35</v>
      </c>
    </row>
    <row r="23" ht="15.75" customHeight="1">
      <c r="A23" s="1" t="s">
        <v>86</v>
      </c>
    </row>
    <row r="24" ht="15.75" customHeight="1"/>
    <row r="25" ht="12.75">
      <c r="A25" s="1" t="s">
        <v>39</v>
      </c>
    </row>
    <row r="27" ht="12.75">
      <c r="A27" s="1" t="s">
        <v>37</v>
      </c>
    </row>
    <row r="28" ht="12.75">
      <c r="A28" s="1" t="s">
        <v>38</v>
      </c>
    </row>
    <row r="30" ht="26.25" customHeight="1">
      <c r="A30" s="1" t="s">
        <v>47</v>
      </c>
    </row>
    <row r="32" ht="12.75">
      <c r="A32" s="1" t="s">
        <v>40</v>
      </c>
    </row>
    <row r="33" ht="12.75">
      <c r="A33" s="1" t="s">
        <v>49</v>
      </c>
    </row>
    <row r="35" ht="12.75">
      <c r="A35" s="1" t="s">
        <v>41</v>
      </c>
    </row>
    <row r="40" ht="25.5">
      <c r="A40" s="1" t="s">
        <v>48</v>
      </c>
    </row>
  </sheetData>
  <printOptions/>
  <pageMargins left="0.75" right="0.75" top="1" bottom="1" header="0.5" footer="0.5"/>
  <pageSetup horizontalDpi="720" verticalDpi="7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Snow Time,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Advantage Card Savings Calculator</dc:title>
  <dc:subject/>
  <dc:creator>Rusty Carr</dc:creator>
  <cp:keywords/>
  <dc:description/>
  <cp:lastModifiedBy>Rusty Carr</cp:lastModifiedBy>
  <cp:lastPrinted>2000-10-18T22:19:32Z</cp:lastPrinted>
  <dcterms:created xsi:type="dcterms:W3CDTF">2000-09-01T04:08:59Z</dcterms:created>
  <dcterms:modified xsi:type="dcterms:W3CDTF">2004-09-17T16:03:39Z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330068387</vt:i4>
  </property>
  <property fmtid="{D5CDD505-2E9C-101B-9397-08002B2CF9AE}" pid="3" name="_EmailSubject">
    <vt:lpwstr>updated spreadsheet</vt:lpwstr>
  </property>
  <property fmtid="{D5CDD505-2E9C-101B-9397-08002B2CF9AE}" pid="4" name="_AuthorEmail">
    <vt:lpwstr>rusty_carr_mail@yahoo.com</vt:lpwstr>
  </property>
  <property fmtid="{D5CDD505-2E9C-101B-9397-08002B2CF9AE}" pid="5" name="_AuthorEmailDisplayName">
    <vt:lpwstr>Russ Carr</vt:lpwstr>
  </property>
  <property fmtid="{D5CDD505-2E9C-101B-9397-08002B2CF9AE}" pid="6" name="_ReviewingToolsShownOnce">
    <vt:lpwstr/>
  </property>
</Properties>
</file>